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9" firstSheet="16" activeTab="23"/>
  </bookViews>
  <sheets>
    <sheet name="DP MEDIA SALRIAL ES" sheetId="1" state="hidden" r:id="rId1"/>
    <sheet name="DP PREFEITURAS" sheetId="2" state="hidden" r:id="rId2"/>
    <sheet name="CUSTO TOTAL" sheetId="3" r:id="rId3"/>
    <sheet name="PESSOAL_MEDIA LINHARES" sheetId="4" r:id="rId4"/>
    <sheet name="MÉDIA SALARIAL" sheetId="5" state="hidden" r:id="rId5"/>
    <sheet name="MEDIA SAL PREFEIT" sheetId="6" state="hidden" r:id="rId6"/>
    <sheet name="ALUGUEL" sheetId="7" state="hidden" r:id="rId7"/>
    <sheet name="DESP FIXA" sheetId="8" state="hidden" r:id="rId8"/>
    <sheet name="DESLOCAMENTO" sheetId="9" r:id="rId9"/>
    <sheet name="ALIMENTAÇÃO - contrato" sheetId="10" r:id="rId10"/>
    <sheet name="CONSERVAÇÃO IMOVEIS " sheetId="11" r:id="rId11"/>
    <sheet name="MATERIAL DIDATICO" sheetId="12" r:id="rId12"/>
    <sheet name="MATERIAL PEDAGOGICO" sheetId="13" r:id="rId13"/>
    <sheet name="MATERIAL OFICINAS" sheetId="14" r:id="rId14"/>
    <sheet name="MATERIAL EXPEDIENTE" sheetId="15" r:id="rId15"/>
    <sheet name="COMBUSTIVEL" sheetId="16" r:id="rId16"/>
    <sheet name="MATERIAL DE LIMPEZA E  DESC" sheetId="17" r:id="rId17"/>
    <sheet name="USO PESSOAL E MEDIC" sheetId="18" r:id="rId18"/>
    <sheet name="LOCAÇÃO DE VEICULO" sheetId="19" r:id="rId19"/>
    <sheet name="Serviço de Terceiro _ PJ" sheetId="20" r:id="rId20"/>
    <sheet name="CAMA_ MESA E BANHO" sheetId="21" r:id="rId21"/>
    <sheet name="CAMA_ UTENSILHOS" sheetId="22" r:id="rId22"/>
    <sheet name="MATERIAL PERMANENTE" sheetId="23" r:id="rId23"/>
    <sheet name="CURSOS E CAPACITAÇÃO" sheetId="24" r:id="rId24"/>
  </sheets>
  <definedNames/>
  <calcPr fullCalcOnLoad="1"/>
</workbook>
</file>

<file path=xl/sharedStrings.xml><?xml version="1.0" encoding="utf-8"?>
<sst xmlns="http://schemas.openxmlformats.org/spreadsheetml/2006/main" count="1218" uniqueCount="725">
  <si>
    <t>1. PAGAMENTO DE PESSOAL E ENCARGOS</t>
  </si>
  <si>
    <t>2. ALUGUEL,IPTU, SEGURO E CONDOMINIO</t>
  </si>
  <si>
    <t xml:space="preserve">     2.1 ALUGUEL</t>
  </si>
  <si>
    <t xml:space="preserve">     2.2 IPTU</t>
  </si>
  <si>
    <t xml:space="preserve">     2.3 SEGURO</t>
  </si>
  <si>
    <t xml:space="preserve">     2.4 CONDOMINIO</t>
  </si>
  <si>
    <t>3. DESPESAS FIXAS</t>
  </si>
  <si>
    <t xml:space="preserve">      3.1 AGUA</t>
  </si>
  <si>
    <t xml:space="preserve">      3.2 LUZ</t>
  </si>
  <si>
    <t xml:space="preserve">     3.4 TELEFONE</t>
  </si>
  <si>
    <t xml:space="preserve">     3.5 INTERNET</t>
  </si>
  <si>
    <t xml:space="preserve">     3.7 TELEFONIA MOVEL</t>
  </si>
  <si>
    <t>4. DESLOCAMENTO</t>
  </si>
  <si>
    <t xml:space="preserve">     4.1 PASSAGENS URBANAS</t>
  </si>
  <si>
    <t xml:space="preserve">5. ALIMENTAÇÃO </t>
  </si>
  <si>
    <t>6. MANUTENÇÃO E CONSERVAÇÃO PREDIAL</t>
  </si>
  <si>
    <t>7. MATERIAL DIDATICO,  PEDAGÓGICO E OFICINA</t>
  </si>
  <si>
    <t xml:space="preserve">     7.3 MATERIAL DE OFICINA</t>
  </si>
  <si>
    <t>8. MATERIAL DE EXPEDIENTE</t>
  </si>
  <si>
    <t>9. COMBUTIVEL</t>
  </si>
  <si>
    <t>12. LOCAÇÃO DE VEICULO</t>
  </si>
  <si>
    <t xml:space="preserve">       12.1 VEICULO DE SERVIÇO</t>
  </si>
  <si>
    <t>13. SERVIÇO DE TERCEIROS - PJ</t>
  </si>
  <si>
    <t>14.CAMA, MESA E BANHO</t>
  </si>
  <si>
    <t>15. CAPACITAÇÕES</t>
  </si>
  <si>
    <t>16. MATERIAL PERMANENTE</t>
  </si>
  <si>
    <t>ANO</t>
  </si>
  <si>
    <t>MÊS</t>
  </si>
  <si>
    <t>MAT</t>
  </si>
  <si>
    <t xml:space="preserve">Cargo/Funcionários </t>
  </si>
  <si>
    <t>Salário</t>
  </si>
  <si>
    <t>Adicional Noturno – CCV 25%</t>
  </si>
  <si>
    <t>Soma</t>
  </si>
  <si>
    <t>Encargos Sociais</t>
  </si>
  <si>
    <t>Beneficios</t>
  </si>
  <si>
    <t>13º salário</t>
  </si>
  <si>
    <t>Férias</t>
  </si>
  <si>
    <t>FGTS</t>
  </si>
  <si>
    <t>FGTS  s/  Férias</t>
  </si>
  <si>
    <t>FGTS s/ 13º salário</t>
  </si>
  <si>
    <t>PIS</t>
  </si>
  <si>
    <t>INSS s/13º salário</t>
  </si>
  <si>
    <t>Pis s/ 13º salário</t>
  </si>
  <si>
    <t>Aviso Prévio</t>
  </si>
  <si>
    <t>FGTS s/Aviso Prévio</t>
  </si>
  <si>
    <t xml:space="preserve">Multa Rescisória </t>
  </si>
  <si>
    <t>Alimentação/Refeição</t>
  </si>
  <si>
    <t>IRRF</t>
  </si>
  <si>
    <t>INSS</t>
  </si>
  <si>
    <t>Vale Transporte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</si>
  <si>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</si>
  <si>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</si>
  <si>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</si>
  <si>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</si>
  <si>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</si>
  <si>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</si>
  <si>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</si>
  <si>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</si>
  <si>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</si>
  <si>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</si>
  <si>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</si>
  <si>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</si>
  <si>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</si>
  <si>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</si>
  <si>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</si>
  <si>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TOTAL</t>
  </si>
  <si>
    <t>Contribuição Patronal: R$ 100,00 x 1 (taxa Unica)</t>
  </si>
  <si>
    <t>TOTAL DA FOLHA</t>
  </si>
  <si>
    <t>CARGO</t>
  </si>
  <si>
    <t>Seguro residencial</t>
  </si>
  <si>
    <t>Itau seguro residencial</t>
  </si>
  <si>
    <t>Banestes seguro</t>
  </si>
  <si>
    <t>Media do Seguro</t>
  </si>
  <si>
    <t>LOCALIZAÇÃO</t>
  </si>
  <si>
    <t>ALUGUEL</t>
  </si>
  <si>
    <t>IPTU</t>
  </si>
  <si>
    <t>SEGURO Banestes / itau</t>
  </si>
  <si>
    <t>Media do aluguel</t>
  </si>
  <si>
    <t>Mês</t>
  </si>
  <si>
    <t>MONTE BELO</t>
  </si>
  <si>
    <t>CASA MARISTA</t>
  </si>
  <si>
    <t>MEDIA TOTAL</t>
  </si>
  <si>
    <t>45 KG</t>
  </si>
  <si>
    <t>MONTE BELO - 4 linhas</t>
  </si>
  <si>
    <t>CASA MARISTA -  4 linhas</t>
  </si>
  <si>
    <t>Alimentação (geral, hortifruti e Carnes/frios)</t>
  </si>
  <si>
    <t>QUANTIDADE ANUAL</t>
  </si>
  <si>
    <t>VALOR UNITÁRIO</t>
  </si>
  <si>
    <t>VALOR TOTAL MENSAL</t>
  </si>
  <si>
    <t>VALOR TOTAL ANUAL</t>
  </si>
  <si>
    <t>Desjejum</t>
  </si>
  <si>
    <t>Lanche</t>
  </si>
  <si>
    <t>Ceia</t>
  </si>
  <si>
    <t>TOTAL MENSAL</t>
  </si>
  <si>
    <t>DESCRIÇÃO</t>
  </si>
  <si>
    <t>UNID.</t>
  </si>
  <si>
    <t>QUANT.</t>
  </si>
  <si>
    <t>VALOR TOTAL</t>
  </si>
  <si>
    <t>N°</t>
  </si>
  <si>
    <t>m²</t>
  </si>
  <si>
    <t xml:space="preserve">Total: </t>
  </si>
  <si>
    <t>UNID</t>
  </si>
  <si>
    <t xml:space="preserve"> VALOR UNITÁRIO </t>
  </si>
  <si>
    <t>Aquisição de livros para formação humana</t>
  </si>
  <si>
    <t>Bola de basquete</t>
  </si>
  <si>
    <t>Bola de futebol</t>
  </si>
  <si>
    <t>Bola de vôlei</t>
  </si>
  <si>
    <t>Bolinhas de ping pong - 6 UNID</t>
  </si>
  <si>
    <t>Bomba de encher bola</t>
  </si>
  <si>
    <t>Colchonetes</t>
  </si>
  <si>
    <t>Jogo - Bingo</t>
  </si>
  <si>
    <t>Jogo – Dama</t>
  </si>
  <si>
    <t>Jogo – Dominó</t>
  </si>
  <si>
    <t>Jogo - Imobiliário</t>
  </si>
  <si>
    <t>Jogo Show do millão</t>
  </si>
  <si>
    <t>Jogo Soletrando</t>
  </si>
  <si>
    <t>Jogo da Memória</t>
  </si>
  <si>
    <t>Quebra - Cabeça</t>
  </si>
  <si>
    <t>Rede Vôlei</t>
  </si>
  <si>
    <t>Saco de Pancada</t>
  </si>
  <si>
    <t>RL</t>
  </si>
  <si>
    <t>Flipchart - com tripé de madeira</t>
  </si>
  <si>
    <t>PCT</t>
  </si>
  <si>
    <t>Papel Contact 45cm  x 10m</t>
  </si>
  <si>
    <t>Papel couche 210mm x 297mm</t>
  </si>
  <si>
    <t>Papel crepon - cores variadas</t>
  </si>
  <si>
    <t>Papel de presente 50x60 – 03 unid</t>
  </si>
  <si>
    <t>Pincel para pintura em tela nº 10 – 3 unid</t>
  </si>
  <si>
    <t>Pincel para pintura em tela nº 12 – 3 unid</t>
  </si>
  <si>
    <t>Pincel para pintura em tela nº 14 – 3 unid</t>
  </si>
  <si>
    <t>Pincel para pintura em tela nº 16 – 3 unid</t>
  </si>
  <si>
    <t>Pistola para cola quente</t>
  </si>
  <si>
    <t>Total:</t>
  </si>
  <si>
    <t>Chaveiro</t>
  </si>
  <si>
    <t>Porta retrato 15x21</t>
  </si>
  <si>
    <t>Imã</t>
  </si>
  <si>
    <t>Vasinho de violeta</t>
  </si>
  <si>
    <t>Tinta Spray grafite</t>
  </si>
  <si>
    <t>Telas para pintura 20x30</t>
  </si>
  <si>
    <t>Telas para pintura 30x40</t>
  </si>
  <si>
    <t>Telas para pintura 40x50</t>
  </si>
  <si>
    <t>Agenda Comercial</t>
  </si>
  <si>
    <t>Apagador p/ quadro branco</t>
  </si>
  <si>
    <t>CX</t>
  </si>
  <si>
    <t>Bola de assoprar - pct com 50 unid.</t>
  </si>
  <si>
    <t>Caderno brochura - capa dura (05 unid.)</t>
  </si>
  <si>
    <t>Caderno de caligrafia - médio</t>
  </si>
  <si>
    <t>Caderno grande com 96 fls.</t>
  </si>
  <si>
    <t>Caderno Universitário de 10 materias</t>
  </si>
  <si>
    <t>Calculadora</t>
  </si>
  <si>
    <t>Caneta esferográfica – cx 50 unid.</t>
  </si>
  <si>
    <t>Caneta hidrográfica (canetinha) – 06 unid.</t>
  </si>
  <si>
    <t>Cartolina dupla face-cores diversas – 100 fls.</t>
  </si>
  <si>
    <t>Cartucho -  preto</t>
  </si>
  <si>
    <t>Clipes niquelados nº 6/0 – cx 50 unid.</t>
  </si>
  <si>
    <t>Cola branca líquida – 40gr – cx 12 unid.</t>
  </si>
  <si>
    <t>Cola colorida - cores diversas – 06 unid.</t>
  </si>
  <si>
    <t>Cola em bastão cx 10 unid.</t>
  </si>
  <si>
    <t>Cola gliter - cores diversas – 06 cores</t>
  </si>
  <si>
    <t>Cola para EVA e isopor</t>
  </si>
  <si>
    <t>Cola Silicone líquida – 50g</t>
  </si>
  <si>
    <t>Corretor líquido – cx 12 unid</t>
  </si>
  <si>
    <t>Envelope para documentos – 100 unid.</t>
  </si>
  <si>
    <t>Envelope plástico - A 4 – cx 50 unid.</t>
  </si>
  <si>
    <t>Estilete 130 mm</t>
  </si>
  <si>
    <t>Estojo escolar</t>
  </si>
  <si>
    <t>Extensão elétrica – 5 m</t>
  </si>
  <si>
    <t>Fita dupla face – c/ 06 unid</t>
  </si>
  <si>
    <t>Grampeador 26/6 – 20 fls.</t>
  </si>
  <si>
    <t>Grampeador grande para 100 folhas</t>
  </si>
  <si>
    <t>Grampo - 26x6 Cx com 1000</t>
  </si>
  <si>
    <t>Grampo - 23x8 Cx com 1000</t>
  </si>
  <si>
    <t>Lápis de Cera c/ 12 unidades</t>
  </si>
  <si>
    <t>Lápis Grafite - nº 2 cx c/ 144</t>
  </si>
  <si>
    <t>Livro protocolo para correspondência</t>
  </si>
  <si>
    <t xml:space="preserve">Mochila escolar </t>
  </si>
  <si>
    <t>Molha dedo c/ 12 unid.</t>
  </si>
  <si>
    <t>Mouse USB</t>
  </si>
  <si>
    <t>Papel A4 - pct c/ 500 – cx 10 unid.</t>
  </si>
  <si>
    <t>Pasta AZ</t>
  </si>
  <si>
    <t>Pasta catálago</t>
  </si>
  <si>
    <t>Pasta L ofício – Plástico – 10 unid</t>
  </si>
  <si>
    <t>Pasta plástica com elástico (branca – preta) – 10 unid</t>
  </si>
  <si>
    <t xml:space="preserve">Pasta suspensa – 10 unid. </t>
  </si>
  <si>
    <t>Pen drive 8  GB</t>
  </si>
  <si>
    <t>Percevejo de lata, cx c/ 100 unidades</t>
  </si>
  <si>
    <t>Perfurador grande - 100 folhas</t>
  </si>
  <si>
    <t>Perfurador pequeno – 20 fls.</t>
  </si>
  <si>
    <t>Pincel atômico (cores diversas) 12 unid</t>
  </si>
  <si>
    <t>Marca texto – 06 unid.</t>
  </si>
  <si>
    <t>Pincel para quadro branco - cx c 12</t>
  </si>
  <si>
    <t>Plástico p/ pasta catálago – 50 unid.</t>
  </si>
  <si>
    <t>Porta lápis /clips/ lembrete</t>
  </si>
  <si>
    <t>Prancheta ofício</t>
  </si>
  <si>
    <t>Quadro branco</t>
  </si>
  <si>
    <t>Quadro de avisos, cortiça, moldura em PVC</t>
  </si>
  <si>
    <t>Régua escolar grande transparente 10 unid.</t>
  </si>
  <si>
    <t>Teclado USB</t>
  </si>
  <si>
    <t>Tesoura de aço escritório</t>
  </si>
  <si>
    <t>Tesoura de picotar</t>
  </si>
  <si>
    <t>Tesoura escolar (modelo mais forte)</t>
  </si>
  <si>
    <t>Combustível - Gasolina / Álcool</t>
  </si>
  <si>
    <t>Água Sanitária, 5L</t>
  </si>
  <si>
    <t>Amaciante de roupas 2L</t>
  </si>
  <si>
    <t>Cesto de lixo externo com tampa e pedal - 100L</t>
  </si>
  <si>
    <t>Cesto de lixo para banheiro - c/ pedal - 20L</t>
  </si>
  <si>
    <t>Cloro, 5L</t>
  </si>
  <si>
    <t>Colher descartável - festa (pct c/ 50)</t>
  </si>
  <si>
    <t>Copo descartável - 200 ml – cx 2500 unid</t>
  </si>
  <si>
    <t>Desentupidor de pia</t>
  </si>
  <si>
    <t>Desentupidor de vaso sanitário</t>
  </si>
  <si>
    <t>Desinfetante bactericida - 500ml</t>
  </si>
  <si>
    <t>Desodorizador de ambiente - 360ml</t>
  </si>
  <si>
    <t xml:space="preserve">Desodorante de vaso sanitário </t>
  </si>
  <si>
    <t>Escova para limpeza em geral</t>
  </si>
  <si>
    <t>Esponja de lã de aço para limpeza – 8 unid</t>
  </si>
  <si>
    <t>Esponja dupla face – 10 unid</t>
  </si>
  <si>
    <t>Flanela para limpeza, 30x40</t>
  </si>
  <si>
    <t>Fósforo, pacote com 10 unidades</t>
  </si>
  <si>
    <t>Garfo descartável - festa (pct c/ 50)</t>
  </si>
  <si>
    <t>Guardanapos de papel (24x22 – 50 fls.)</t>
  </si>
  <si>
    <t>Inseticida (300 ml)</t>
  </si>
  <si>
    <t>Limpador Limpeza Pesada - 500 ml</t>
  </si>
  <si>
    <t>Limpador Multiuso - 500 ml</t>
  </si>
  <si>
    <t>Lustra Móveis, 500 ml</t>
  </si>
  <si>
    <t>Luva de limpeza - tarefa pesada (par)</t>
  </si>
  <si>
    <t>Pá de lixo</t>
  </si>
  <si>
    <t>Pano de chão - saco alvejado</t>
  </si>
  <si>
    <t>Pano de Prato</t>
  </si>
  <si>
    <t>Pano Multiuso – perflex – 5 unid</t>
  </si>
  <si>
    <t>Papel alumínio – rolo - 45x7,5m</t>
  </si>
  <si>
    <t>Papel Filme para embalar alimentos - 28x30m</t>
  </si>
  <si>
    <t>Papel Higiênico - pct c/ 08 de 30 mts.</t>
  </si>
  <si>
    <t>Papel Toalha para banheiro, embalagem com 1.250 folhas.</t>
  </si>
  <si>
    <t>Prato descartável - festa - festa (pct c/ 10)</t>
  </si>
  <si>
    <t>Prato descartável - refeição - festa (pct c/ 10)</t>
  </si>
  <si>
    <t>Pregador de roupa (pacote com 12 unidades)</t>
  </si>
  <si>
    <t>Rodo de limpeza</t>
  </si>
  <si>
    <t>Sabão de coco em barra - pct 5 unid</t>
  </si>
  <si>
    <t>Sabão em barra - pct 5 unid</t>
  </si>
  <si>
    <t>Sabão em pó – 5kg</t>
  </si>
  <si>
    <t>Saco plástico para lixo - 20L (rolo c/ 100)</t>
  </si>
  <si>
    <t>Saco plástico para lixo – 40L (rolo c/ 100)</t>
  </si>
  <si>
    <t>Saco plástico para lixo - 100L (rolo c/ 100)</t>
  </si>
  <si>
    <t>Saponáceo em pó - 300g</t>
  </si>
  <si>
    <t>Suporte para copo descartável - 200 ml</t>
  </si>
  <si>
    <t>Vassoura de sintetico</t>
  </si>
  <si>
    <t>Vassoura de piaçava</t>
  </si>
  <si>
    <t>Touca descartável (caixa com 100)</t>
  </si>
  <si>
    <t>Talco antisséptico para pés</t>
  </si>
  <si>
    <t>Tesoura para cortar cabelo</t>
  </si>
  <si>
    <t>Vassoura para vaso sanitário</t>
  </si>
  <si>
    <t xml:space="preserve">VALOR TOTAL </t>
  </si>
  <si>
    <t>Aparelho de pressão*</t>
  </si>
  <si>
    <t>Chinelo de Borracha - Preto</t>
  </si>
  <si>
    <t>Condicionador para cabelo - 350 ml</t>
  </si>
  <si>
    <t>Creme dental</t>
  </si>
  <si>
    <t>Curativos, caixa com 40 unidades</t>
  </si>
  <si>
    <t>Cortador de unha*</t>
  </si>
  <si>
    <t>Desodorante antitranspirante creme</t>
  </si>
  <si>
    <t>Escova de dente</t>
  </si>
  <si>
    <t>Esparadrapo - rolo</t>
  </si>
  <si>
    <t>Esponja para banho</t>
  </si>
  <si>
    <t>Fita de Micropore</t>
  </si>
  <si>
    <t>Gel de cabelo</t>
  </si>
  <si>
    <t>Hastes Flexíveis - (cx c/150 unidades)</t>
  </si>
  <si>
    <t>Pente Fino (para piolho)</t>
  </si>
  <si>
    <t>Pente Médio*</t>
  </si>
  <si>
    <t>Pomada para dores musculares</t>
  </si>
  <si>
    <t>Prestobarba masculino</t>
  </si>
  <si>
    <t>Remédio - diclofenaco (cx c/ 20)</t>
  </si>
  <si>
    <t>CARTELA</t>
  </si>
  <si>
    <t>Sabonete em barra</t>
  </si>
  <si>
    <t>Sabonete líquido - 1 lt</t>
  </si>
  <si>
    <t>Shampoo para cabelo - 350 ml</t>
  </si>
  <si>
    <t>Total</t>
  </si>
  <si>
    <t>DE SERVIÇO</t>
  </si>
  <si>
    <t>VALOR MENSAL</t>
  </si>
  <si>
    <t>VALOR ANUAL</t>
  </si>
  <si>
    <t>CUSTOS COM A MÃO-DE-OBRA:</t>
  </si>
  <si>
    <t>TRANSPORTE LEVE</t>
  </si>
  <si>
    <t>TOTAL DE LOCAÇÃO</t>
  </si>
  <si>
    <t>Análise Microbiológica da água</t>
  </si>
  <si>
    <t>Confecção de colete</t>
  </si>
  <si>
    <t>Confecção de crachá (suporte e cordão)</t>
  </si>
  <si>
    <t>Conserto em fechadura</t>
  </si>
  <si>
    <t>Cópia de chave simples</t>
  </si>
  <si>
    <t>Cópia de chave tetra</t>
  </si>
  <si>
    <t>Descupinização - Desinsentização e Desratização</t>
  </si>
  <si>
    <t>Encadernação P/ 300 fls.</t>
  </si>
  <si>
    <t>Fornecimento e Instalação, extintor de incêndio CO2 6kg e placa sinalização</t>
  </si>
  <si>
    <t>Fornecimento e Instalação, extintor de incêndio PQS 6kg e placa sinalização</t>
  </si>
  <si>
    <t>Fornecimento e Instalação, extintor de incêndio AGP - 10L e placa sinalização</t>
  </si>
  <si>
    <t>Higienização de Caixa d'agua</t>
  </si>
  <si>
    <t>Instalação de Central de Gás p/ 02 cilindros</t>
  </si>
  <si>
    <t>Locação de ônibus para passeio</t>
  </si>
  <si>
    <t>Manutenção Ar condicionado</t>
  </si>
  <si>
    <t>Manutenção e recarga de extintor de incêndio AGP - 10L</t>
  </si>
  <si>
    <t>Manutenção e recarga extintor de incêndio CO2 6kg</t>
  </si>
  <si>
    <t>Manutenção e recarga extintor de incêndio PQS 6kg</t>
  </si>
  <si>
    <t>Material gráfico - banner com acabamento</t>
  </si>
  <si>
    <t>Material gráfico – envelope timbrado</t>
  </si>
  <si>
    <t>Material gráfico – papel timbrado</t>
  </si>
  <si>
    <t>Locação de maquina e repografia (copiadora, impressora e scanner)</t>
  </si>
  <si>
    <t>Repografia - cópia P/B</t>
  </si>
  <si>
    <t>Repografia -Impressão - P/B</t>
  </si>
  <si>
    <t>Repografia - cópia colorida</t>
  </si>
  <si>
    <t>Repografia - Impressão Colorido</t>
  </si>
  <si>
    <t>Serviço de Fornecimento e instalação de alarme vídeo monitoramento, filmagem com gravação das imagens, câmeras.</t>
  </si>
  <si>
    <t>Serviço de Fornecimento e instalação de cerca elétrica</t>
  </si>
  <si>
    <t>Serviço de revelação de foto - 10x15</t>
  </si>
  <si>
    <t xml:space="preserve">Serviços Cartoriais </t>
  </si>
  <si>
    <t>Cobertor de solteiro 100% poliéster</t>
  </si>
  <si>
    <t>Capacho para portas (emborrachado)</t>
  </si>
  <si>
    <t>Piso para banheiro (tipo tapete)</t>
  </si>
  <si>
    <t xml:space="preserve">Toalha de rosto </t>
  </si>
  <si>
    <t>Toalha para mesa redonda (padrão p/ 4 cadeiras)</t>
  </si>
  <si>
    <t>Travesseiro</t>
  </si>
  <si>
    <t>Aparelho de telefone c/ chave</t>
  </si>
  <si>
    <t>Carro Térmico para alimentos - Com termostato</t>
  </si>
  <si>
    <t>Nobreak - 4 tomadas - 600VA/ 300W</t>
  </si>
  <si>
    <t>Notebook 14' 8GB</t>
  </si>
  <si>
    <t xml:space="preserve">Purificador de Agua </t>
  </si>
  <si>
    <t>Armário de aço com portas - escritório</t>
  </si>
  <si>
    <t>Armário de aço para arquivo (4 gavetas pasta suspensa)</t>
  </si>
  <si>
    <t>Armário para guardar remédios (psicotrópicos)</t>
  </si>
  <si>
    <t>Beliches</t>
  </si>
  <si>
    <t>Cadeira de escritório fixa</t>
  </si>
  <si>
    <t>Colchões de solteiro D23</t>
  </si>
  <si>
    <t>Mesa de escritório (1,20 com 2 gavetas)</t>
  </si>
  <si>
    <t>Prateleira em aço tipo estante</t>
  </si>
  <si>
    <t>Mesa Plástico</t>
  </si>
  <si>
    <t>Cadeira Plástica</t>
  </si>
  <si>
    <t>Mesa de Ping Pong</t>
  </si>
  <si>
    <t>Coifa/Exaustor</t>
  </si>
  <si>
    <t>CAPACITAÇÕES</t>
  </si>
  <si>
    <t>Conteúdos/conceitos mínimos</t>
  </si>
  <si>
    <t xml:space="preserve">Carga Horária </t>
  </si>
  <si>
    <t>VALOR * hora aula</t>
  </si>
  <si>
    <t>Teatro</t>
  </si>
  <si>
    <t>Improvisação;</t>
  </si>
  <si>
    <t>Corpo e criação;</t>
  </si>
  <si>
    <t>Jogos dramáticos;</t>
  </si>
  <si>
    <t>Ginástica respiratória;</t>
  </si>
  <si>
    <t>Composição de Peças teatrais.</t>
  </si>
  <si>
    <t xml:space="preserve">Fotografia </t>
  </si>
  <si>
    <t>Exercícios para o olhar fotográfico;</t>
  </si>
  <si>
    <t>Poesia</t>
  </si>
  <si>
    <t>Linguagem poética;</t>
  </si>
  <si>
    <t>Elementos de composição;</t>
  </si>
  <si>
    <t>Leitura de autores nacionais e estrangeiros;</t>
  </si>
  <si>
    <t>Criação de textos;</t>
  </si>
  <si>
    <t>Roda crítica.</t>
  </si>
  <si>
    <t>Pintura em tela</t>
  </si>
  <si>
    <t>Informações de materiais e seu uso;</t>
  </si>
  <si>
    <t>Teoria das Cores;</t>
  </si>
  <si>
    <t>Elaboração de trabalhos em papel e diversos materiais;</t>
  </si>
  <si>
    <t>Elaboração e composição das telas a serem pintadas;</t>
  </si>
  <si>
    <t>Passos básicos para a pintura em tela;</t>
  </si>
  <si>
    <t>Luz e Sombra;</t>
  </si>
  <si>
    <t>Texturas;</t>
  </si>
  <si>
    <t>Composição com elementos da natureza;</t>
  </si>
  <si>
    <t>Pintura com várias tipos de pigmentos.</t>
  </si>
  <si>
    <t>Jornal Mural</t>
  </si>
  <si>
    <t>Gêneros textuais;</t>
  </si>
  <si>
    <t>Produção de textos;</t>
  </si>
  <si>
    <t>Programação visual;</t>
  </si>
  <si>
    <t xml:space="preserve"> Diagramação;</t>
  </si>
  <si>
    <t>Criação de pauta;</t>
  </si>
  <si>
    <t>Reportagem.</t>
  </si>
  <si>
    <t>Informática Básica</t>
  </si>
  <si>
    <t>Sistema Operacional - Windows</t>
  </si>
  <si>
    <t>Editor de Texto - Word Fundamental</t>
  </si>
  <si>
    <t>Editor de Planilha - Excel Fundamental</t>
  </si>
  <si>
    <t>Powerpoint</t>
  </si>
  <si>
    <t xml:space="preserve">Internet </t>
  </si>
  <si>
    <t>História da Internet</t>
  </si>
  <si>
    <t>Endereços Eletrônicos: sites e e-mail</t>
  </si>
  <si>
    <t>Utlizando sites de pesquisa através dos navegadores Explorer e Mozila Firefox</t>
  </si>
  <si>
    <t>Criar e Utilizar e-mail</t>
  </si>
  <si>
    <t>Manutenção e Montagem de Computadores</t>
  </si>
  <si>
    <t>Ensina como funciona a parte física do computador o conjunto de componentes eletrônicos, circuitos integrados e placas.</t>
  </si>
  <si>
    <t>Word</t>
  </si>
  <si>
    <t xml:space="preserve">Editor de Texto - Word Fundamental </t>
  </si>
  <si>
    <t>Excel Básico</t>
  </si>
  <si>
    <t>Editor de Planilha</t>
  </si>
  <si>
    <t>Editor de efeitos Visuais</t>
  </si>
  <si>
    <t xml:space="preserve">Qualificação Profissional </t>
  </si>
  <si>
    <t>Administração</t>
  </si>
  <si>
    <t>Alimentação</t>
  </si>
  <si>
    <t>Turismo e Hospitalidade</t>
  </si>
  <si>
    <t>Construção e Reparos</t>
  </si>
  <si>
    <t>Metalmecânica</t>
  </si>
  <si>
    <t xml:space="preserve">Iniciação Profissional </t>
  </si>
  <si>
    <t xml:space="preserve">Administração  </t>
  </si>
  <si>
    <t xml:space="preserve">TOTAL </t>
  </si>
  <si>
    <t>PERÍODO</t>
  </si>
  <si>
    <t>1º MÊS</t>
  </si>
  <si>
    <t xml:space="preserve">Total de Custos </t>
  </si>
  <si>
    <t xml:space="preserve">     4.4 PASSAGENS  INTERMUNICIPAIS</t>
  </si>
  <si>
    <t>2º A 12º MÊS</t>
  </si>
  <si>
    <t xml:space="preserve">Anual </t>
  </si>
  <si>
    <t>SKY</t>
  </si>
  <si>
    <t>GVT</t>
  </si>
  <si>
    <t>Despesas Fixas: água, luz, gás,Telefone, Internet, TV a Cabo</t>
  </si>
  <si>
    <t>LUZ - Escelsa</t>
  </si>
  <si>
    <t>AGUA - Cesan</t>
  </si>
  <si>
    <t>TELEFONE FIXO + INTERNET - GVT</t>
  </si>
  <si>
    <t>TELEFONE CELULAR - TIM e VIVO</t>
  </si>
  <si>
    <t>TV A CABO - SKY e GVT</t>
  </si>
  <si>
    <t>GAS - Valores pagos pelo IASES</t>
  </si>
  <si>
    <t>PASSAGENS URBANAS E INTERMUNICIPAIS</t>
  </si>
  <si>
    <t>ALIMENTAÇÃO</t>
  </si>
  <si>
    <t xml:space="preserve">     7.2 MATERIAL PEDAGOCICO </t>
  </si>
  <si>
    <t>MODELO 1 - COM MOTORISTA</t>
  </si>
  <si>
    <t>MODELO 2 - SEM MOTORISTA</t>
  </si>
  <si>
    <t xml:space="preserve">LOCAÇÃO DE VEICULO </t>
  </si>
  <si>
    <t>Plano de Saude - MENSAL</t>
  </si>
  <si>
    <t xml:space="preserve">Sub-Total (Sal.+ Encargos+Benefícios) - MENSAL </t>
  </si>
  <si>
    <t>Contribuição Sindical - taxa associativa</t>
  </si>
  <si>
    <r>
      <rPr>
        <b/>
        <sz val="10"/>
        <rFont val="Arial"/>
        <family val="2"/>
      </rPr>
      <t>CONSIDERAÇÕES:</t>
    </r>
    <r>
      <rPr>
        <sz val="10"/>
        <rFont val="Arial"/>
        <family val="2"/>
      </rPr>
      <t xml:space="preserve">
- A equipe de atendimento apresentada acima está de acordo com os parâmetros da Lei nº 12.594/2012 – Sistema Nacional de Atendimento Socioeducativo;
- Os salários adotados estão de acordo TABELA DE SUBSÍDIO DOS SERVIDORES EFETIVOS (referência I1)  e CARGOS COMISSIONADOS DOS IASES;                                                                                                                                                                                                                                                           - Para o Cargo de Cozinheiro foi adotado como referência o subsidio do cargo de MOTORISTA; </t>
    </r>
  </si>
  <si>
    <t>MEDICAMENTOS E OUTROS</t>
  </si>
  <si>
    <t>11. USO PESSOAL, MEDICAMENTOS E OUTROS</t>
  </si>
  <si>
    <t>10. MATERIAL DE LIMPEZA E DESCARTAVEIS</t>
  </si>
  <si>
    <r>
      <t>VEÍCULO DE PASSEIO: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
* Modelo do veículo: o modelo de fabricação mais recente existente na data de assinatura do contrato;
* Cor: branca;
*Combustível: gasolina e álcool;
*</t>
    </r>
    <r>
      <rPr>
        <b/>
        <sz val="11"/>
        <color indexed="8"/>
        <rFont val="Calibri"/>
        <family val="2"/>
      </rPr>
      <t xml:space="preserve"> Capacidade de transporte: 05 (cinco) passageiros, incluindo o motorista;</t>
    </r>
    <r>
      <rPr>
        <sz val="11"/>
        <color indexed="8"/>
        <rFont val="Calibri"/>
        <family val="2"/>
      </rPr>
      <t xml:space="preserve">
* Número de portas (com travas elétricas): 04 (quatro);
* Vidros elétricos nas 2 (duas) portas dianteiras;
* Película de proteção solar G35 com chancela;
*05 (cinco) marchas à frente e 01 (uma) à ré;
* Freios: a disco com ABS;
* Air bag Duplo;
* Pneus: radiais, inclusive o estepe;
*Potência mínima: 67 CV;
*Máxima de 99 CV;
*Direção hidráulica;
* Espelhos retrovisores internos e externos com controle interno;
* Rádio AM / FM com CD player
* Grade protetora do motor e cárter;
* Acessórios obrigatórios (cintos de segurança três pontas, tapetes, extintor, estepe, chave de roda, macaco e triângulo modelo standard);
*Ar condicionado;
*Km rodados: máximo de 5.000 km;
*Quilometragem livre e seguro total (sem qualquer franquia para pagamento pelo Estado, inclusive para casos de acidentes e roubo).
</t>
    </r>
  </si>
  <si>
    <r>
      <t>VEÍCULO DE TRANSPORTE DE PASSAGEIRO: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
*Modelo do veículo: o modelo de fabricação mais recente existente na data de assinatura do contrato;
* Cor: branca;
* Combustível: gasolina e etanol;
</t>
    </r>
    <r>
      <rPr>
        <b/>
        <sz val="11"/>
        <color indexed="8"/>
        <rFont val="Calibri"/>
        <family val="2"/>
      </rPr>
      <t>* Capacidade de transporte: de 07 passageiros, incluindo o motorista.</t>
    </r>
    <r>
      <rPr>
        <sz val="11"/>
        <color indexed="8"/>
        <rFont val="Calibri"/>
        <family val="2"/>
      </rPr>
      <t xml:space="preserve">
* Película de proteção solar G35 com chancela;
* Potência mínima: 85 CV;
* Máxima de 135 CV
* Freios: a disco com ABS;
* Air bag Duplo;
* Ar condicionado;
* Portas laterais traseiras deslizantes
* Pneus: radiais, inclusive o estepe;
* Espelhos retrovisores internos e externos;
* Rádio AM / FM com CD player;
* Grade protetora do motor e cárter
* Acessórios obrigatórios (cintos de segurança, tapetes, extintor, estepe, chave de roda, macaco e triângulo modelo standard);
* Km rodados: máximo de 5.000 km;
* Quilometragem livre e seguro total (sem qualquer franquia para pagamento pelo Estado, inclusive para casos de acidentes e roubo).</t>
    </r>
  </si>
  <si>
    <t>Cadeira de escritório giratória sem braço</t>
  </si>
  <si>
    <t>Mesa redonda escritório para 4 lugares</t>
  </si>
  <si>
    <t>PREVISÃO DE CUSTOS COM SALÁRIOS, ENCARGOS SOCIAIS E BENEFÍCIOS  - TENDO COMO REFERÊNCIA TABELA DE SUBSIDIO DO IASES - Ref. I1</t>
  </si>
  <si>
    <t>GERENTE ADM/FINAN</t>
  </si>
  <si>
    <t>GERENTE ????</t>
  </si>
  <si>
    <t>QUANTIDADE</t>
  </si>
  <si>
    <t xml:space="preserve">PSICOLOGO – 44h </t>
  </si>
  <si>
    <t>ASSISTENTE SOCIAL – 30h</t>
  </si>
  <si>
    <t>PEDAGOGO – 44h</t>
  </si>
  <si>
    <t>COORDENADOR EDUCADOR - 44h</t>
  </si>
  <si>
    <t>COZINHEIRA - 12/36</t>
  </si>
  <si>
    <t>MOTORISTA - 44h</t>
  </si>
  <si>
    <t>ASSISTENTE ADM/FIN - 44h</t>
  </si>
  <si>
    <t>PISO NACIONAL¹</t>
  </si>
  <si>
    <t>1- PISO SALARIAL NACIONAL - SINE - 2 a 4 anos de experiência  - http://www.sine.com.br/media-salarial</t>
  </si>
  <si>
    <t>ESTAGIARIO DE DIREITO – 20h</t>
  </si>
  <si>
    <t>EDUCADOR SOCIAL - 12/36 Diurno</t>
  </si>
  <si>
    <t>EDUCADOR SOCIAL - 12/36 Noturno</t>
  </si>
  <si>
    <t xml:space="preserve">AUXILIAR DE SERVIÇOS GERAIS - 44h </t>
  </si>
  <si>
    <t>Entidade 1</t>
  </si>
  <si>
    <t>Entidade 2</t>
  </si>
  <si>
    <t>DIRETOR GERAL</t>
  </si>
  <si>
    <t>ASSISTENTE JURIDICO – 44h</t>
  </si>
  <si>
    <t>QTD</t>
  </si>
  <si>
    <t xml:space="preserve">Seguro de Vida: Funcionários 86 x R$ 8,50 valor unitário = R$ 731,00 x 12 meses </t>
  </si>
  <si>
    <t>MÉDIA SALARIAL ES</t>
  </si>
  <si>
    <t>ENTIDAS</t>
  </si>
  <si>
    <t>2- PISO SALARIAL ESTADUAL - SINDAGENCIAS - MARISTA/MONTE BELO</t>
  </si>
  <si>
    <t>PREFEITURAS</t>
  </si>
  <si>
    <t xml:space="preserve">      3.3 GÁS 45KG (2 UNID) CILINDRO</t>
  </si>
  <si>
    <t>Violão</t>
  </si>
  <si>
    <t>Atabaque</t>
  </si>
  <si>
    <t>Pandeiro</t>
  </si>
  <si>
    <t>Berinbal</t>
  </si>
  <si>
    <t>MICOCOMPUTADOR - 23" - com Office</t>
  </si>
  <si>
    <t xml:space="preserve">MICOCOMPUTADOR  - </t>
  </si>
  <si>
    <t>Cama</t>
  </si>
  <si>
    <t>Estação de trabalho 6 lugares</t>
  </si>
  <si>
    <t>Armário de aço patreleira</t>
  </si>
  <si>
    <t>Maquina de coortar cabelo</t>
  </si>
  <si>
    <t>Forno eletrico Industrial</t>
  </si>
  <si>
    <t>Mesa simples para computador</t>
  </si>
  <si>
    <t>Guarda Roupa - 2 portas/4gav</t>
  </si>
  <si>
    <t>Datashow</t>
  </si>
  <si>
    <t>Servidor</t>
  </si>
  <si>
    <t>Abridor de lata (comum)</t>
  </si>
  <si>
    <t>Açucareiro (médio plástico)</t>
  </si>
  <si>
    <t>Afiador de carne (pedra - comum)</t>
  </si>
  <si>
    <t>Bacia plástica 2L</t>
  </si>
  <si>
    <t>Batedor de carne (grande e forte)</t>
  </si>
  <si>
    <t>Batedor de ovo</t>
  </si>
  <si>
    <t>Boleira redonda com tampa (Grande, mesmo tamanho que a forma do pudim)</t>
  </si>
  <si>
    <t>Boleira retangular com tampa 40x30</t>
  </si>
  <si>
    <t>Bomboniere de vidro (VIDRO GROSSO)</t>
  </si>
  <si>
    <t>Caneca esmaltada</t>
  </si>
  <si>
    <t>Coador de café grande</t>
  </si>
  <si>
    <t>Colher de poliuretano grande (resistente até 200 graus) - cabo longo</t>
  </si>
  <si>
    <t>Cortador de legumes - grande de chão (GENI)</t>
  </si>
  <si>
    <t>Cubas de alumínio grande com tampa</t>
  </si>
  <si>
    <t>Descanso de panelas grande</t>
  </si>
  <si>
    <t>Escorredor de macarrão grande 33cm</t>
  </si>
  <si>
    <t>Espátula pequena – silicone</t>
  </si>
  <si>
    <t>Espremedor de batatas - industrial - grande resistente</t>
  </si>
  <si>
    <t>Faca de carne - média</t>
  </si>
  <si>
    <t>Faca de carne - grande</t>
  </si>
  <si>
    <t>Faca de pão - grande</t>
  </si>
  <si>
    <t>Forma de gelo - plástico resistente</t>
  </si>
  <si>
    <t>Forma de pudim grande</t>
  </si>
  <si>
    <t>Frigideira antiaderente média - 40 cm - funda</t>
  </si>
  <si>
    <t>Frigideira antiaderente pequena - 20cm</t>
  </si>
  <si>
    <t>Frigideira antiaderente pequena - 30cm</t>
  </si>
  <si>
    <t>Funil médio</t>
  </si>
  <si>
    <t>Garrafão térmico grande com torneira</t>
  </si>
  <si>
    <t>Jarra para suco grande de vidro</t>
  </si>
  <si>
    <t>Jarra para suco grande de plástico</t>
  </si>
  <si>
    <t>Lixeira área externa com pedal - 100L</t>
  </si>
  <si>
    <t>Luva térmica par</t>
  </si>
  <si>
    <t>Pá de lixo cabo grande - alumínio</t>
  </si>
  <si>
    <t xml:space="preserve">Panela de pressão  4,5 Lts </t>
  </si>
  <si>
    <t>Panela de pressão - 10 lts</t>
  </si>
  <si>
    <t>Peneira pequena</t>
  </si>
  <si>
    <t>Pilão - grande e forte</t>
  </si>
  <si>
    <t>Porta condimentos - médio</t>
  </si>
  <si>
    <t>Porta azeite, vinagre e sal (jogo com 3)</t>
  </si>
  <si>
    <t>Porta Mantimentos</t>
  </si>
  <si>
    <t>Porta coador de café grande</t>
  </si>
  <si>
    <t>Prato de refeição</t>
  </si>
  <si>
    <t xml:space="preserve">Ralador </t>
  </si>
  <si>
    <t>Saleiro - plástico resistente</t>
  </si>
  <si>
    <t>Socador de alho - (não pode ser de madeira)</t>
  </si>
  <si>
    <t>Suporte para coador</t>
  </si>
  <si>
    <t>Suporte para copo descartável</t>
  </si>
  <si>
    <t>Suporte para papel toalha</t>
  </si>
  <si>
    <t>Suporte para sabonete líquido</t>
  </si>
  <si>
    <t xml:space="preserve">Suporte para sabonete alcool gel </t>
  </si>
  <si>
    <t>Tábua de carne em poliuretano - 30cm</t>
  </si>
  <si>
    <t>Tábua de carne em poliuretano - 40cm</t>
  </si>
  <si>
    <t>Tabuleiro redondo - 30 cm</t>
  </si>
  <si>
    <t>Tabuleiro redondo - 40 cm</t>
  </si>
  <si>
    <t>vasilhame de plástico c/ tampa pequeno - retangular ( 5 litros)</t>
  </si>
  <si>
    <t>Vasilhames de plástico c/ tampa médio retangular ( 10 litros)</t>
  </si>
  <si>
    <t>Vasilhames plástico c/ tampa grande retangular ( 20 litros)</t>
  </si>
  <si>
    <t xml:space="preserve">Xícara com pires </t>
  </si>
  <si>
    <t>Faca Eletrica</t>
  </si>
  <si>
    <t>Serviços Licitatorios</t>
  </si>
  <si>
    <t>12 MESES</t>
  </si>
  <si>
    <t>3 CASA</t>
  </si>
  <si>
    <t>ANUAL</t>
  </si>
  <si>
    <t>2 UNID ANO</t>
  </si>
  <si>
    <t>QUANT. Ano</t>
  </si>
  <si>
    <t>MATERIAL DE LIMPEZA E DESCARTAVEIS - 3 casa</t>
  </si>
  <si>
    <t>Clipes niquelados nº 2/0 – cx 100 unid</t>
  </si>
  <si>
    <t>Serviço Juridico</t>
  </si>
  <si>
    <t>SERVIÇO DE TERCEIROS - PESSOA JURIDICA - 3 casa anual</t>
  </si>
  <si>
    <t>Material de Consumo - Utensílios e Acessórios 3 casa anual</t>
  </si>
  <si>
    <t>Material Permanente - 3 casas anual</t>
  </si>
  <si>
    <t xml:space="preserve">15. UTENSILIOS </t>
  </si>
  <si>
    <t xml:space="preserve">GERENTE </t>
  </si>
  <si>
    <t>ANALISTA ADMINIST E FINANCEIRO</t>
  </si>
  <si>
    <t>PASSAGENS INTERMUNICIPAIS (45 adolescentes)</t>
  </si>
  <si>
    <t>AUXILIAR ADMINISTRATIVO - 44h</t>
  </si>
  <si>
    <t>Lanche Externo Integral</t>
  </si>
  <si>
    <t>Lanche Externo Parcial</t>
  </si>
  <si>
    <t>Lanche Familiar</t>
  </si>
  <si>
    <t>Alimentação Complementar 1</t>
  </si>
  <si>
    <t>Alimentação Complementar 2</t>
  </si>
  <si>
    <t>3 Casas</t>
  </si>
  <si>
    <t>Ventilador 60cm</t>
  </si>
  <si>
    <t>FALTA TIRAR</t>
  </si>
  <si>
    <t>POR CASA</t>
  </si>
  <si>
    <t>Valor Total médio do aluguel LINHARES</t>
  </si>
  <si>
    <t>Aquisição de livros paradidáticos</t>
  </si>
  <si>
    <t>Aquisição de livros diversos</t>
  </si>
  <si>
    <t xml:space="preserve">     7.1 LIVROS DIDATICO</t>
  </si>
  <si>
    <t>COORDENADOR  - 44h</t>
  </si>
  <si>
    <t>Fogão padrão - 4 bocas</t>
  </si>
  <si>
    <t>Microfone com fio</t>
  </si>
  <si>
    <t>Armário vestiário aço(24 portas)</t>
  </si>
  <si>
    <t>Jaleco - Tecnico</t>
  </si>
  <si>
    <t>FONTE:                                                                                                                                                                       - Prestações de Conta encaminhadas pelas instituições UBEE – Casa Marista e Fundação Monte Belo;                                                      - SKY e GVT;                                                                                                                                                                                                                                                                                   - GÁS: valores pago pelo IASES</t>
  </si>
  <si>
    <t>Material de Consumo - Livros Didáticos</t>
  </si>
  <si>
    <t>MANUTENÇÃO E CONSERVAÇÃO PREDIAL</t>
  </si>
  <si>
    <t>Material Pedagógico - 3 casa</t>
  </si>
  <si>
    <t>Material de Oficina - 3 casas</t>
  </si>
  <si>
    <t>Material de Expediente - 3 residencias</t>
  </si>
  <si>
    <t>Combustível</t>
  </si>
  <si>
    <t xml:space="preserve">Uso Pessoal, Medicamentos e Outros - 3 casas </t>
  </si>
  <si>
    <t>Confecção de Camisa - UNIFORME EMPREGADOS (2 POR CADA)</t>
  </si>
  <si>
    <t>TOTAL 1 unid</t>
  </si>
  <si>
    <t>TOTAL - 02 veiculo</t>
  </si>
  <si>
    <t>Ponto eletrônico</t>
  </si>
  <si>
    <t>Assesoria Contábil</t>
  </si>
  <si>
    <t>Auditória Externa</t>
  </si>
  <si>
    <t>Exame admissional, periodico, demissional</t>
  </si>
  <si>
    <t>Araça</t>
  </si>
  <si>
    <t>Bairro Juparanã</t>
  </si>
  <si>
    <t>Taxas extras (pintura, caução, etc)</t>
  </si>
  <si>
    <t>-</t>
  </si>
  <si>
    <t>Rack Televisão</t>
  </si>
  <si>
    <t>Seguro de Vida: (Valor Unitario)</t>
  </si>
  <si>
    <t>Plano de Saúde</t>
  </si>
  <si>
    <t xml:space="preserve">Adesão Odontlogica: </t>
  </si>
  <si>
    <t>EDUCADOR SOCIAL - Diarista</t>
  </si>
  <si>
    <t>Material de Consumo - Cama, Mesa e Banho - 3 CASA</t>
  </si>
  <si>
    <t xml:space="preserve">Linhares - Quartos 4 ou + </t>
  </si>
  <si>
    <t>(Fonte: Imperi adv, Helmer Imoveis, Passos Imoveis)</t>
  </si>
  <si>
    <t>Aluguel, IPTU e Seguro</t>
  </si>
  <si>
    <t>VALE SOCIAL ¹</t>
  </si>
  <si>
    <t>Emassamento de paredes e forros, com duas demãos de massa à base de PVA, marcas de referência Suvinil, Coral ou Metalatex</t>
  </si>
  <si>
    <t>Pintura com tinta látex PVA, marcas de referência Suvinil, Coral ou Metalatex, inclusive selador, em paredes e forros, a duas demãos</t>
  </si>
  <si>
    <t>Cobertura nova de telhas onduladas de fibrocimento 6.0mm, inclusive cumeeiras e acessórios de fixação</t>
  </si>
  <si>
    <t>Alvenaria de blocos de concreto 9x19x39cm</t>
  </si>
  <si>
    <t>Hidráulica (Revisões e reparos em torneiras e registros, caixas de descarga, torneiras de bóia)</t>
  </si>
  <si>
    <t>Elétrica (Revisões e repareos de Interruptores, tomadas, rede eletrica em geral)</t>
  </si>
  <si>
    <t>Apontador c/ depósito - caixa: 24 unid.</t>
  </si>
  <si>
    <t>Borracha branca - capa de plástico - cx 20 unid.</t>
  </si>
  <si>
    <t>Caixa de arquivo morto em polionda – 50 unid</t>
  </si>
  <si>
    <t>Cartucho – colorido</t>
  </si>
  <si>
    <t>Elástico látex amarelo pct 100 g nº 18</t>
  </si>
  <si>
    <t>Fita adesiva transparente 19mm x 50m – cx 20 unid.</t>
  </si>
  <si>
    <t>Fita adesiva larga 45mm x 40m – pct 4 unid.</t>
  </si>
  <si>
    <t>Fita crepe 18mm x 50m – pct 06 unid.</t>
  </si>
  <si>
    <t>Livro Ata com 200 folhas</t>
  </si>
  <si>
    <t>Lápis de cor c/06 unidades</t>
  </si>
  <si>
    <t xml:space="preserve">Extrator de grampo 12 unid </t>
  </si>
  <si>
    <t>Cola quente em bastão – 50g  - c/ 12 unid</t>
  </si>
  <si>
    <t>Apito + Corda</t>
  </si>
  <si>
    <t>BLC</t>
  </si>
  <si>
    <t>Papel Flipchart - 50 fls.</t>
  </si>
  <si>
    <t>Fitilho - Cores variadas 50 m cx 10 unid</t>
  </si>
  <si>
    <t>EVA - cores diversas 600mmx400mm cx 10 unid</t>
  </si>
  <si>
    <t>Papel de seda - cores variadas – 100fls</t>
  </si>
  <si>
    <t>Papel Micro-ondulado – 10 fls</t>
  </si>
  <si>
    <t>Pincel para pintura em tela nº 2 – 3 unid</t>
  </si>
  <si>
    <t xml:space="preserve"> VALOR UNITÁRIO</t>
  </si>
  <si>
    <t>Caixa MDF - 15x15x07cm</t>
  </si>
  <si>
    <t>Caixa MDF - 20x15x07cm</t>
  </si>
  <si>
    <t>Caixa MDF - 33x19x10</t>
  </si>
  <si>
    <t>Álcool em Gel, 500 gr</t>
  </si>
  <si>
    <t>Balde plástico – 10L</t>
  </si>
  <si>
    <t>Detergente líquido – 5L</t>
  </si>
  <si>
    <t>Algodão 100 gr</t>
  </si>
  <si>
    <t>Fio dental 100m</t>
  </si>
  <si>
    <t>Palito de dente - cx 200 unid</t>
  </si>
  <si>
    <t>Protetor Solar, FPS 60 (equipe externa)</t>
  </si>
  <si>
    <t>Repelente - 200 ml</t>
  </si>
  <si>
    <t>Soro fisiológico - 500ml</t>
  </si>
  <si>
    <t>Spray Antisséptico - 30 ml</t>
  </si>
  <si>
    <t>Talco antisséptico - 200 gr</t>
  </si>
  <si>
    <t xml:space="preserve">Agua boricada </t>
  </si>
  <si>
    <t>Agua oxigenada 10 vl - 1L</t>
  </si>
  <si>
    <t>Remédio - tylenol (cartela c/ 20)</t>
  </si>
  <si>
    <t>Luva cirúrgica - cx.c/100 unid -  nº 7,5</t>
  </si>
  <si>
    <t>Assadeira Alumínio (Tabuleiro)  40x30 profunda - INOX</t>
  </si>
  <si>
    <t>Bacia plástica 7L</t>
  </si>
  <si>
    <t>Bandeja plástica 275mm x 400mm</t>
  </si>
  <si>
    <t>Bisnagas de Plástico ( 2 unid catchup e maionese)</t>
  </si>
  <si>
    <t>Colher de alimentação (de sopa) - Inox - 12pç</t>
  </si>
  <si>
    <t>Colher grande - servir - Inox</t>
  </si>
  <si>
    <t>Concha p/ feijão média - Inox</t>
  </si>
  <si>
    <t>Copo de vidro - cx 06 unid</t>
  </si>
  <si>
    <t>Escorredor de prato - plástico forte - Inox</t>
  </si>
  <si>
    <t>Escumadeira grande - cabo longo - Inox</t>
  </si>
  <si>
    <t>Faca para refeição  -  - Inox - 12pç</t>
  </si>
  <si>
    <t>Forma de pizza - 40 cm</t>
  </si>
  <si>
    <t>Tabuleiro de Assar - Retangular</t>
  </si>
  <si>
    <t>Garfo de refeição - Inox - 12pç</t>
  </si>
  <si>
    <t>Garrafa de café ( Para café - chá - leite ) - 1L</t>
  </si>
  <si>
    <t xml:space="preserve">Panela de pressão - 20 lts </t>
  </si>
  <si>
    <t>Panela grande - média - Inox</t>
  </si>
  <si>
    <t>Panela grande - pequena - Inox</t>
  </si>
  <si>
    <t>Pegador de salada - Inox</t>
  </si>
  <si>
    <t>Peneira grande - Inox</t>
  </si>
  <si>
    <t>Porta mantimentos - Plástico - P/M/G)</t>
  </si>
  <si>
    <t>Colcha de Piquet - Solteiro - 2,20m x 1,50m</t>
  </si>
  <si>
    <t>Fronha - 100% algodão</t>
  </si>
  <si>
    <t>Lençol solteiro com elástico - 180 fios</t>
  </si>
  <si>
    <t>Toalha de banho -Felpuda - 100% algodão</t>
  </si>
  <si>
    <t xml:space="preserve">Confecção de carimbo - Automático </t>
  </si>
  <si>
    <t>Fornecimento e instalação de porta divisória - m² (cobradiça/fechadura)</t>
  </si>
  <si>
    <t xml:space="preserve">Serviço de fornecimento e instalação de divisória 80x210 - m² </t>
  </si>
  <si>
    <t>Serviço de instalação/fornecimento de persiana m² - Vertical</t>
  </si>
  <si>
    <t>Serviço de revelação de foto - 3x4 (8 fotos)</t>
  </si>
  <si>
    <t>Serviço Instalação de grade - m²</t>
  </si>
  <si>
    <t>Forno de Microondas 27 Lt</t>
  </si>
  <si>
    <t>Ar Condicionado 9.000 btus</t>
  </si>
  <si>
    <t>Câmera Fotográfica Digital – 20,1MP – 32X ZOOM</t>
  </si>
  <si>
    <t>Máquina de lavar e secar roupa - 16 kg</t>
  </si>
  <si>
    <t xml:space="preserve">Televisor 42” </t>
  </si>
  <si>
    <t>Suporte para TV</t>
  </si>
  <si>
    <t>Antena digital</t>
  </si>
  <si>
    <t>Freezer - Horizontal 220 Lt</t>
  </si>
  <si>
    <t>Refrigerador – 427 Lt</t>
  </si>
  <si>
    <t>Liquidificador - 400w</t>
  </si>
  <si>
    <t>Caixa de Som Amplificada e Radio e Microfone</t>
  </si>
  <si>
    <t>Roteador wireless</t>
  </si>
  <si>
    <t>MEDIA</t>
  </si>
  <si>
    <t>GERENTE</t>
  </si>
  <si>
    <t>21</t>
  </si>
  <si>
    <t>COZINHEIRA</t>
  </si>
  <si>
    <t>1- PREFEITURA MUNICIPAL DE VITÓRIA</t>
  </si>
  <si>
    <t>2- PREFEITURA MUNICIPAL DE VILA VELHA</t>
  </si>
  <si>
    <t>3-PREFEITURA MUNICIPAL DE SERRA</t>
  </si>
  <si>
    <t xml:space="preserve">COORDENADOR </t>
  </si>
  <si>
    <t>CONSIDERAÇÕES:</t>
  </si>
  <si>
    <t>- Os salários adotados estão de acordo TABELA DE SUBSÍDIO DOS SERVIDORES EFETIVOS e CARGOS COMISSIONADOS das referidas prefeituras.</t>
  </si>
  <si>
    <t>1- PREFEITURA MUNICIPAL DE LINHARES - Nível 03-CC-S3/ 01-10-C/01-10-A(30H)/03-CC-S8/-F-I/ 01-10-A(LEI 3440/2014)/01-10-A/01-10-A/01-07-A</t>
  </si>
  <si>
    <t>2- INSTITUTO DE PREV E ASSIST DOS SER DO MUN DE LINHARES 03-CC-S2/10-10-Z/01-10-C(30h)/01-10-H/01-06-A/01-01-D</t>
  </si>
  <si>
    <t>3- FACULDADE DE ENSINO SUPERIOR DE LINHARES - C-C-4 /NIVEL 3-I-A/NIVEL 1-I-A/NIVEL 3-I-A/ NIVEL 1-I-A</t>
  </si>
  <si>
    <t>4- MEDIA SALARIAL NACIONAL</t>
  </si>
  <si>
    <t>FONTE:
https://linhares-es.portaltp.com.br/consultas/pessoal/planocarreiras.aspx
https://www.sine.com.br/media-salarial-para-ajudante-de-servicos-gerais
http://www.salariobr.com.br/
https://www.empregos.com.br/pesquisa-salarial/</t>
  </si>
  <si>
    <t>Férias + 1/3</t>
  </si>
  <si>
    <t>Equiparação
Salarial</t>
  </si>
  <si>
    <t>Custo mensal</t>
  </si>
  <si>
    <t>Custo Anual</t>
  </si>
  <si>
    <t>MENOR VALOR</t>
  </si>
  <si>
    <t xml:space="preserve">MÉDIA </t>
  </si>
  <si>
    <t xml:space="preserve">5- Piso fixo da categoria (convenção coletiva)- R$ 997,32 </t>
  </si>
  <si>
    <t>R$ 1.600,00+10%</t>
  </si>
  <si>
    <t xml:space="preserve">R$ 1.600,00/220h= R$ 7,272727*150h=R$ 1.090,91 </t>
  </si>
  <si>
    <t xml:space="preserve">6- O cargo de Coordenador receberá 10% a mais que o salário dos Técnicos </t>
  </si>
  <si>
    <t xml:space="preserve">7- Salário do Assistente Social equivale a carga horaria de 150h </t>
  </si>
  <si>
    <t>Jogo de estofado (3/2 lugares) tecido</t>
  </si>
  <si>
    <t xml:space="preserve">MÉDIA SALARIAL </t>
  </si>
  <si>
    <r>
      <t>PMV</t>
    </r>
    <r>
      <rPr>
        <b/>
        <vertAlign val="superscript"/>
        <sz val="11"/>
        <color indexed="8"/>
        <rFont val="Calibri"/>
        <family val="2"/>
      </rPr>
      <t xml:space="preserve"> 1</t>
    </r>
  </si>
  <si>
    <r>
      <t xml:space="preserve">PMVV 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</si>
  <si>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PMS 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</si>
  <si>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PML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</si>
  <si>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IPASML </t>
    </r>
    <r>
      <rPr>
        <b/>
        <vertAlign val="superscript"/>
        <sz val="11"/>
        <color indexed="8"/>
        <rFont val="Calibri"/>
        <family val="2"/>
      </rPr>
      <t>2</t>
    </r>
  </si>
  <si>
    <r>
      <t xml:space="preserve">FACELI 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</si>
  <si>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MEDIA NACIONAL </t>
    </r>
    <r>
      <rPr>
        <b/>
        <vertAlign val="superscript"/>
        <sz val="11"/>
        <color indexed="8"/>
        <rFont val="Calibri"/>
        <family val="2"/>
      </rPr>
      <t>4</t>
    </r>
  </si>
  <si>
    <t>Contribuição Sindical Patronal: R$ 100,00 x 1 (taxa Unica)</t>
  </si>
  <si>
    <r>
      <rPr>
        <b/>
        <sz val="11"/>
        <color indexed="8"/>
        <rFont val="Arial"/>
        <family val="2"/>
      </rPr>
      <t>CONSIDERAÇÕES:</t>
    </r>
    <r>
      <rPr>
        <sz val="11"/>
        <color indexed="8"/>
        <rFont val="Arial"/>
        <family val="2"/>
      </rPr>
      <t xml:space="preserve">
</t>
    </r>
  </si>
  <si>
    <t xml:space="preserve">INSS Patronal </t>
  </si>
  <si>
    <t>CUSTO TOTAL</t>
  </si>
  <si>
    <t xml:space="preserve">Almoço </t>
  </si>
  <si>
    <t>Jantar</t>
  </si>
  <si>
    <t>ANEXO XVII – TABELAS REFERENCIAIS DE COMPOSIÇÃO DE CUSTO</t>
  </si>
  <si>
    <t xml:space="preserve">PREVISÃO DE CUSTOS COM SALÁRIOS, ENC+A9:Z38ARGOS SOCIAIS E BENEFÍCIOS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</si>
</sst>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dd/mm/yy"/>
    <numFmt numFmtId="166" formatCode="[$R$-416]\ #,##0.00;[Red]\-[$R$-416]\ #,##0.00"/>
    <numFmt numFmtId="167" formatCode="_-* #,##0.00_-;\-* #,##0.00_-;_-* \-??_-;_-@_-"/>
    <numFmt numFmtId="168" formatCode="mm/yy"/>
    <numFmt numFmtId="169" formatCode="mmm/yyyy"/>
    <numFmt numFmtId="170" formatCode="[$R$-416]\ #,##0.00;\-[$R$-416]\ #,##0.00"/>
    <numFmt numFmtId="171" formatCode="_-&quot;R$ &quot;* #,##0.00_-;&quot;-R$ &quot;* #,##0.00_-;_-&quot;R$ &quot;* \-??_-;_-@_-"/>
    <numFmt numFmtId="172" formatCode="&quot;R$ &quot;#,##0.00;[Red]&quot;-R$ &quot;#,##0.00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dd\,\ d&quot; de &quot;mmmm&quot; de &quot;yyyy"/>
    <numFmt numFmtId="179" formatCode="&quot;R$&quot;\ #,##0.00"/>
    <numFmt numFmtId="180" formatCode="#,##0.00;[Red]#,##0.00"/>
    <numFmt numFmtId="181" formatCode="&quot;R$&quot;\ #,##0.000"/>
    <numFmt numFmtId="182" formatCode="&quot;R$ &quot;#,##0;&quot;-R$ &quot;#,##0"/>
    <numFmt numFmtId="183" formatCode="#,##0.0"/>
    <numFmt numFmtId="184" formatCode="0.000%"/>
    <numFmt numFmtId="185" formatCode="0.0%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u val="single"/>
      <sz val="12"/>
      <color indexed="8"/>
      <name val="Arial"/>
      <family val="2"/>
    </font>
    <font>
      <b/>
      <strike/>
      <sz val="11"/>
      <color indexed="8"/>
      <name val="Arial Narrow"/>
      <family val="2"/>
    </font>
    <font>
      <strike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indexed="8"/>
      <name val="Calibri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vertAlign val="superscript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hair"/>
      <bottom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/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" fillId="22" borderId="0" applyNumberFormat="0" applyBorder="0" applyAlignment="0" applyProtection="0"/>
    <xf numFmtId="0" fontId="6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7" fontId="1" fillId="0" borderId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168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168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164" fontId="23" fillId="0" borderId="11" xfId="0" applyNumberFormat="1" applyFont="1" applyBorder="1" applyAlignment="1">
      <alignment/>
    </xf>
    <xf numFmtId="0" fontId="24" fillId="24" borderId="10" xfId="0" applyFont="1" applyFill="1" applyBorder="1" applyAlignment="1">
      <alignment/>
    </xf>
    <xf numFmtId="164" fontId="24" fillId="24" borderId="10" xfId="0" applyNumberFormat="1" applyFont="1" applyFill="1" applyBorder="1" applyAlignment="1">
      <alignment/>
    </xf>
    <xf numFmtId="164" fontId="24" fillId="0" borderId="10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/>
    </xf>
    <xf numFmtId="164" fontId="23" fillId="24" borderId="12" xfId="0" applyNumberFormat="1" applyFont="1" applyFill="1" applyBorder="1" applyAlignment="1">
      <alignment horizontal="right" vertical="center" wrapText="1"/>
    </xf>
    <xf numFmtId="164" fontId="23" fillId="24" borderId="10" xfId="0" applyNumberFormat="1" applyFont="1" applyFill="1" applyBorder="1" applyAlignment="1">
      <alignment horizontal="right" vertical="center" wrapText="1"/>
    </xf>
    <xf numFmtId="167" fontId="23" fillId="0" borderId="12" xfId="0" applyNumberFormat="1" applyFont="1" applyBorder="1" applyAlignment="1">
      <alignment horizontal="right"/>
    </xf>
    <xf numFmtId="168" fontId="23" fillId="0" borderId="13" xfId="0" applyNumberFormat="1" applyFont="1" applyBorder="1" applyAlignment="1">
      <alignment/>
    </xf>
    <xf numFmtId="164" fontId="24" fillId="24" borderId="14" xfId="0" applyNumberFormat="1" applyFont="1" applyFill="1" applyBorder="1" applyAlignment="1">
      <alignment/>
    </xf>
    <xf numFmtId="164" fontId="24" fillId="24" borderId="10" xfId="0" applyNumberFormat="1" applyFont="1" applyFill="1" applyBorder="1" applyAlignment="1">
      <alignment horizontal="right"/>
    </xf>
    <xf numFmtId="164" fontId="24" fillId="24" borderId="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 horizontal="right"/>
    </xf>
    <xf numFmtId="0" fontId="24" fillId="24" borderId="15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28" fillId="0" borderId="0" xfId="44" applyFont="1">
      <alignment/>
      <protection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vertical="top" wrapText="1"/>
    </xf>
    <xf numFmtId="164" fontId="0" fillId="0" borderId="10" xfId="0" applyNumberFormat="1" applyBorder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24" borderId="12" xfId="0" applyFont="1" applyFill="1" applyBorder="1" applyAlignment="1">
      <alignment/>
    </xf>
    <xf numFmtId="0" fontId="24" fillId="25" borderId="10" xfId="0" applyFont="1" applyFill="1" applyBorder="1" applyAlignment="1">
      <alignment horizontal="right"/>
    </xf>
    <xf numFmtId="4" fontId="24" fillId="25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/>
    </xf>
    <xf numFmtId="2" fontId="24" fillId="17" borderId="16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4" fontId="24" fillId="0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/>
    </xf>
    <xf numFmtId="164" fontId="24" fillId="0" borderId="14" xfId="0" applyNumberFormat="1" applyFont="1" applyFill="1" applyBorder="1" applyAlignment="1">
      <alignment/>
    </xf>
    <xf numFmtId="164" fontId="24" fillId="0" borderId="15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1" fillId="26" borderId="0" xfId="0" applyFont="1" applyFill="1" applyAlignment="1">
      <alignment wrapText="1"/>
    </xf>
    <xf numFmtId="0" fontId="31" fillId="26" borderId="0" xfId="0" applyFont="1" applyFill="1" applyAlignment="1">
      <alignment horizontal="left" wrapText="1"/>
    </xf>
    <xf numFmtId="165" fontId="31" fillId="26" borderId="0" xfId="0" applyNumberFormat="1" applyFont="1" applyFill="1" applyAlignment="1">
      <alignment wrapText="1"/>
    </xf>
    <xf numFmtId="0" fontId="32" fillId="0" borderId="0" xfId="0" applyFont="1" applyFill="1" applyAlignment="1">
      <alignment wrapText="1"/>
    </xf>
    <xf numFmtId="0" fontId="31" fillId="16" borderId="0" xfId="0" applyFont="1" applyFill="1" applyAlignment="1">
      <alignment wrapText="1"/>
    </xf>
    <xf numFmtId="0" fontId="31" fillId="0" borderId="0" xfId="0" applyFont="1" applyAlignment="1">
      <alignment horizontal="right" wrapText="1"/>
    </xf>
    <xf numFmtId="0" fontId="33" fillId="24" borderId="17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/>
    </xf>
    <xf numFmtId="0" fontId="34" fillId="0" borderId="17" xfId="0" applyFont="1" applyBorder="1" applyAlignment="1">
      <alignment/>
    </xf>
    <xf numFmtId="167" fontId="34" fillId="24" borderId="17" xfId="68" applyFont="1" applyFill="1" applyBorder="1" applyAlignment="1" applyProtection="1">
      <alignment/>
      <protection/>
    </xf>
    <xf numFmtId="167" fontId="34" fillId="0" borderId="17" xfId="68" applyFont="1" applyFill="1" applyBorder="1" applyAlignment="1" applyProtection="1">
      <alignment/>
      <protection/>
    </xf>
    <xf numFmtId="167" fontId="33" fillId="0" borderId="17" xfId="68" applyFont="1" applyFill="1" applyBorder="1" applyAlignment="1" applyProtection="1">
      <alignment/>
      <protection/>
    </xf>
    <xf numFmtId="0" fontId="34" fillId="0" borderId="17" xfId="0" applyFont="1" applyFill="1" applyBorder="1" applyAlignment="1">
      <alignment/>
    </xf>
    <xf numFmtId="0" fontId="34" fillId="16" borderId="18" xfId="0" applyFont="1" applyFill="1" applyBorder="1" applyAlignment="1">
      <alignment/>
    </xf>
    <xf numFmtId="0" fontId="33" fillId="16" borderId="18" xfId="0" applyFont="1" applyFill="1" applyBorder="1" applyAlignment="1">
      <alignment/>
    </xf>
    <xf numFmtId="4" fontId="33" fillId="16" borderId="18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center"/>
    </xf>
    <xf numFmtId="4" fontId="33" fillId="16" borderId="19" xfId="0" applyNumberFormat="1" applyFont="1" applyFill="1" applyBorder="1" applyAlignment="1">
      <alignment/>
    </xf>
    <xf numFmtId="4" fontId="33" fillId="16" borderId="18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14" borderId="10" xfId="0" applyFont="1" applyFill="1" applyBorder="1" applyAlignment="1">
      <alignment horizontal="center" vertical="center"/>
    </xf>
    <xf numFmtId="0" fontId="35" fillId="1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71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5" fillId="27" borderId="10" xfId="0" applyFont="1" applyFill="1" applyBorder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35" fillId="28" borderId="10" xfId="0" applyNumberFormat="1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164" fontId="35" fillId="0" borderId="10" xfId="0" applyNumberFormat="1" applyFont="1" applyBorder="1" applyAlignment="1">
      <alignment/>
    </xf>
    <xf numFmtId="0" fontId="35" fillId="14" borderId="20" xfId="0" applyFont="1" applyFill="1" applyBorder="1" applyAlignment="1">
      <alignment horizontal="center" vertical="center"/>
    </xf>
    <xf numFmtId="0" fontId="35" fillId="14" borderId="20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172" fontId="36" fillId="0" borderId="2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/>
    </xf>
    <xf numFmtId="171" fontId="35" fillId="0" borderId="20" xfId="0" applyNumberFormat="1" applyFont="1" applyBorder="1" applyAlignment="1">
      <alignment vertical="center" wrapText="1"/>
    </xf>
    <xf numFmtId="0" fontId="36" fillId="0" borderId="20" xfId="44" applyFont="1" applyBorder="1" applyAlignment="1">
      <alignment horizontal="center" vertical="center"/>
      <protection/>
    </xf>
    <xf numFmtId="44" fontId="31" fillId="29" borderId="0" xfId="0" applyNumberFormat="1" applyFont="1" applyFill="1" applyAlignment="1">
      <alignment wrapText="1"/>
    </xf>
    <xf numFmtId="44" fontId="31" fillId="26" borderId="0" xfId="0" applyNumberFormat="1" applyFont="1" applyFill="1" applyAlignment="1">
      <alignment wrapText="1"/>
    </xf>
    <xf numFmtId="44" fontId="32" fillId="0" borderId="0" xfId="0" applyNumberFormat="1" applyFont="1" applyAlignment="1">
      <alignment wrapText="1"/>
    </xf>
    <xf numFmtId="44" fontId="31" fillId="0" borderId="0" xfId="0" applyNumberFormat="1" applyFont="1" applyFill="1" applyAlignment="1">
      <alignment wrapText="1"/>
    </xf>
    <xf numFmtId="44" fontId="31" fillId="16" borderId="0" xfId="0" applyNumberFormat="1" applyFont="1" applyFill="1" applyAlignment="1">
      <alignment wrapText="1"/>
    </xf>
    <xf numFmtId="0" fontId="35" fillId="0" borderId="20" xfId="0" applyFont="1" applyBorder="1" applyAlignment="1">
      <alignment horizontal="center"/>
    </xf>
    <xf numFmtId="49" fontId="37" fillId="0" borderId="2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5" fillId="30" borderId="20" xfId="44" applyFont="1" applyFill="1" applyBorder="1" applyAlignment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4" fontId="24" fillId="16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/>
    </xf>
    <xf numFmtId="0" fontId="33" fillId="16" borderId="18" xfId="0" applyFont="1" applyFill="1" applyBorder="1" applyAlignment="1">
      <alignment vertical="center" wrapText="1"/>
    </xf>
    <xf numFmtId="0" fontId="35" fillId="31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1" borderId="20" xfId="0" applyFont="1" applyFill="1" applyBorder="1" applyAlignment="1">
      <alignment/>
    </xf>
    <xf numFmtId="0" fontId="0" fillId="32" borderId="20" xfId="0" applyFill="1" applyBorder="1" applyAlignment="1">
      <alignment/>
    </xf>
    <xf numFmtId="0" fontId="25" fillId="33" borderId="10" xfId="0" applyFont="1" applyFill="1" applyBorder="1" applyAlignment="1">
      <alignment/>
    </xf>
    <xf numFmtId="164" fontId="25" fillId="33" borderId="10" xfId="0" applyNumberFormat="1" applyFont="1" applyFill="1" applyBorder="1" applyAlignment="1">
      <alignment/>
    </xf>
    <xf numFmtId="0" fontId="23" fillId="0" borderId="0" xfId="0" applyFont="1" applyAlignment="1">
      <alignment vertical="top" wrapText="1"/>
    </xf>
    <xf numFmtId="0" fontId="24" fillId="0" borderId="20" xfId="0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164" fontId="24" fillId="17" borderId="15" xfId="0" applyNumberFormat="1" applyFont="1" applyFill="1" applyBorder="1" applyAlignment="1">
      <alignment horizontal="right"/>
    </xf>
    <xf numFmtId="169" fontId="23" fillId="24" borderId="15" xfId="0" applyNumberFormat="1" applyFont="1" applyFill="1" applyBorder="1" applyAlignment="1">
      <alignment/>
    </xf>
    <xf numFmtId="164" fontId="23" fillId="0" borderId="15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0" applyNumberFormat="1" applyFont="1" applyBorder="1" applyAlignment="1">
      <alignment/>
    </xf>
    <xf numFmtId="0" fontId="35" fillId="34" borderId="20" xfId="44" applyFont="1" applyFill="1" applyBorder="1" applyAlignment="1">
      <alignment horizontal="center" vertical="center" wrapText="1"/>
      <protection/>
    </xf>
    <xf numFmtId="0" fontId="36" fillId="0" borderId="20" xfId="44" applyFont="1" applyFill="1" applyBorder="1" applyAlignment="1">
      <alignment horizontal="center" vertical="center"/>
      <protection/>
    </xf>
    <xf numFmtId="0" fontId="36" fillId="0" borderId="20" xfId="44" applyFont="1" applyFill="1" applyBorder="1" applyAlignment="1">
      <alignment vertical="center" wrapText="1"/>
      <protection/>
    </xf>
    <xf numFmtId="171" fontId="36" fillId="0" borderId="20" xfId="44" applyNumberFormat="1" applyFont="1" applyFill="1" applyBorder="1" applyAlignment="1">
      <alignment horizontal="center" vertical="center"/>
      <protection/>
    </xf>
    <xf numFmtId="171" fontId="36" fillId="0" borderId="20" xfId="44" applyNumberFormat="1" applyFont="1" applyFill="1" applyBorder="1" applyAlignment="1">
      <alignment vertical="center"/>
      <protection/>
    </xf>
    <xf numFmtId="0" fontId="36" fillId="0" borderId="20" xfId="44" applyFont="1" applyFill="1" applyBorder="1" applyAlignment="1">
      <alignment horizontal="left" vertical="center" wrapText="1"/>
      <protection/>
    </xf>
    <xf numFmtId="0" fontId="37" fillId="0" borderId="20" xfId="44" applyFont="1" applyFill="1" applyBorder="1" applyAlignment="1">
      <alignment horizontal="left" vertical="center" wrapText="1"/>
      <protection/>
    </xf>
    <xf numFmtId="0" fontId="36" fillId="0" borderId="20" xfId="44" applyFont="1" applyFill="1" applyBorder="1" applyAlignment="1">
      <alignment horizontal="center" vertical="center" wrapText="1"/>
      <protection/>
    </xf>
    <xf numFmtId="4" fontId="33" fillId="27" borderId="18" xfId="0" applyNumberFormat="1" applyFont="1" applyFill="1" applyBorder="1" applyAlignment="1">
      <alignment/>
    </xf>
    <xf numFmtId="4" fontId="33" fillId="35" borderId="18" xfId="0" applyNumberFormat="1" applyFont="1" applyFill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0" xfId="0" applyFont="1" applyBorder="1" applyAlignment="1">
      <alignment horizontal="left"/>
    </xf>
    <xf numFmtId="0" fontId="37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20" xfId="0" applyFont="1" applyBorder="1" applyAlignment="1">
      <alignment horizontal="center"/>
    </xf>
    <xf numFmtId="179" fontId="36" fillId="31" borderId="20" xfId="0" applyNumberFormat="1" applyFont="1" applyFill="1" applyBorder="1" applyAlignment="1">
      <alignment horizontal="center" wrapText="1"/>
    </xf>
    <xf numFmtId="179" fontId="36" fillId="31" borderId="20" xfId="0" applyNumberFormat="1" applyFont="1" applyFill="1" applyBorder="1" applyAlignment="1">
      <alignment horizontal="center"/>
    </xf>
    <xf numFmtId="0" fontId="35" fillId="0" borderId="21" xfId="0" applyFont="1" applyBorder="1" applyAlignment="1">
      <alignment horizontal="center"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36" fillId="32" borderId="20" xfId="0" applyNumberFormat="1" applyFont="1" applyFill="1" applyBorder="1" applyAlignment="1">
      <alignment horizontal="center"/>
    </xf>
    <xf numFmtId="179" fontId="36" fillId="32" borderId="20" xfId="0" applyNumberFormat="1" applyFont="1" applyFill="1" applyBorder="1" applyAlignment="1">
      <alignment horizontal="center" vertical="center"/>
    </xf>
    <xf numFmtId="179" fontId="35" fillId="32" borderId="20" xfId="0" applyNumberFormat="1" applyFont="1" applyFill="1" applyBorder="1" applyAlignment="1">
      <alignment horizontal="center" vertical="center"/>
    </xf>
    <xf numFmtId="179" fontId="39" fillId="32" borderId="20" xfId="0" applyNumberFormat="1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/>
    </xf>
    <xf numFmtId="179" fontId="36" fillId="36" borderId="20" xfId="0" applyNumberFormat="1" applyFont="1" applyFill="1" applyBorder="1" applyAlignment="1">
      <alignment horizontal="center"/>
    </xf>
    <xf numFmtId="4" fontId="39" fillId="31" borderId="20" xfId="0" applyNumberFormat="1" applyFont="1" applyFill="1" applyBorder="1" applyAlignment="1">
      <alignment horizontal="center"/>
    </xf>
    <xf numFmtId="179" fontId="39" fillId="36" borderId="20" xfId="0" applyNumberFormat="1" applyFont="1" applyFill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20" xfId="0" applyFont="1" applyFill="1" applyBorder="1" applyAlignment="1">
      <alignment horizontal="left"/>
    </xf>
    <xf numFmtId="0" fontId="35" fillId="37" borderId="20" xfId="0" applyFont="1" applyFill="1" applyBorder="1" applyAlignment="1">
      <alignment horizontal="center"/>
    </xf>
    <xf numFmtId="4" fontId="39" fillId="37" borderId="20" xfId="0" applyNumberFormat="1" applyFont="1" applyFill="1" applyBorder="1" applyAlignment="1">
      <alignment horizontal="center"/>
    </xf>
    <xf numFmtId="179" fontId="32" fillId="0" borderId="20" xfId="0" applyNumberFormat="1" applyFont="1" applyFill="1" applyBorder="1" applyAlignment="1">
      <alignment horizontal="center"/>
    </xf>
    <xf numFmtId="0" fontId="35" fillId="38" borderId="20" xfId="0" applyFont="1" applyFill="1" applyBorder="1" applyAlignment="1">
      <alignment horizontal="center"/>
    </xf>
    <xf numFmtId="179" fontId="36" fillId="36" borderId="20" xfId="0" applyNumberFormat="1" applyFont="1" applyFill="1" applyBorder="1" applyAlignment="1">
      <alignment horizontal="center" wrapText="1"/>
    </xf>
    <xf numFmtId="4" fontId="39" fillId="38" borderId="20" xfId="0" applyNumberFormat="1" applyFont="1" applyFill="1" applyBorder="1" applyAlignment="1">
      <alignment horizontal="center"/>
    </xf>
    <xf numFmtId="179" fontId="36" fillId="38" borderId="20" xfId="0" applyNumberFormat="1" applyFont="1" applyFill="1" applyBorder="1" applyAlignment="1">
      <alignment horizontal="center"/>
    </xf>
    <xf numFmtId="179" fontId="36" fillId="3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179" fontId="19" fillId="0" borderId="0" xfId="0" applyNumberFormat="1" applyFont="1" applyAlignment="1">
      <alignment/>
    </xf>
    <xf numFmtId="179" fontId="25" fillId="33" borderId="10" xfId="0" applyNumberFormat="1" applyFont="1" applyFill="1" applyBorder="1" applyAlignment="1">
      <alignment/>
    </xf>
    <xf numFmtId="179" fontId="25" fillId="0" borderId="0" xfId="0" applyNumberFormat="1" applyFont="1" applyFill="1" applyBorder="1" applyAlignment="1">
      <alignment/>
    </xf>
    <xf numFmtId="0" fontId="41" fillId="0" borderId="20" xfId="0" applyFont="1" applyBorder="1" applyAlignment="1">
      <alignment horizontal="center"/>
    </xf>
    <xf numFmtId="0" fontId="42" fillId="0" borderId="20" xfId="0" applyFont="1" applyBorder="1" applyAlignment="1">
      <alignment/>
    </xf>
    <xf numFmtId="164" fontId="41" fillId="0" borderId="20" xfId="0" applyNumberFormat="1" applyFont="1" applyBorder="1" applyAlignment="1">
      <alignment horizontal="center"/>
    </xf>
    <xf numFmtId="0" fontId="41" fillId="24" borderId="20" xfId="0" applyFont="1" applyFill="1" applyBorder="1" applyAlignment="1">
      <alignment/>
    </xf>
    <xf numFmtId="164" fontId="41" fillId="24" borderId="20" xfId="0" applyNumberFormat="1" applyFont="1" applyFill="1" applyBorder="1" applyAlignment="1">
      <alignment/>
    </xf>
    <xf numFmtId="164" fontId="41" fillId="24" borderId="20" xfId="0" applyNumberFormat="1" applyFont="1" applyFill="1" applyBorder="1" applyAlignment="1">
      <alignment horizontal="right"/>
    </xf>
    <xf numFmtId="2" fontId="41" fillId="17" borderId="2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1" fillId="25" borderId="15" xfId="0" applyFont="1" applyFill="1" applyBorder="1" applyAlignment="1">
      <alignment horizontal="right"/>
    </xf>
    <xf numFmtId="4" fontId="41" fillId="25" borderId="15" xfId="0" applyNumberFormat="1" applyFont="1" applyFill="1" applyBorder="1" applyAlignment="1">
      <alignment/>
    </xf>
    <xf numFmtId="43" fontId="36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0" fontId="36" fillId="0" borderId="20" xfId="44" applyFont="1" applyFill="1" applyBorder="1" applyAlignment="1">
      <alignment horizontal="left" vertical="center"/>
      <protection/>
    </xf>
    <xf numFmtId="43" fontId="0" fillId="0" borderId="0" xfId="0" applyNumberFormat="1" applyAlignment="1">
      <alignment/>
    </xf>
    <xf numFmtId="0" fontId="25" fillId="0" borderId="0" xfId="0" applyFont="1" applyAlignment="1">
      <alignment horizontal="right"/>
    </xf>
    <xf numFmtId="179" fontId="19" fillId="39" borderId="0" xfId="0" applyNumberFormat="1" applyFont="1" applyFill="1" applyAlignment="1">
      <alignment/>
    </xf>
    <xf numFmtId="0" fontId="25" fillId="40" borderId="0" xfId="0" applyFont="1" applyFill="1" applyAlignment="1">
      <alignment horizontal="right"/>
    </xf>
    <xf numFmtId="179" fontId="25" fillId="40" borderId="0" xfId="0" applyNumberFormat="1" applyFont="1" applyFill="1" applyAlignment="1">
      <alignment/>
    </xf>
    <xf numFmtId="0" fontId="24" fillId="24" borderId="0" xfId="0" applyFont="1" applyFill="1" applyBorder="1" applyAlignment="1">
      <alignment/>
    </xf>
    <xf numFmtId="179" fontId="24" fillId="0" borderId="1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164" fontId="24" fillId="17" borderId="14" xfId="0" applyNumberFormat="1" applyFont="1" applyFill="1" applyBorder="1" applyAlignment="1">
      <alignment horizontal="right"/>
    </xf>
    <xf numFmtId="164" fontId="24" fillId="41" borderId="20" xfId="0" applyNumberFormat="1" applyFont="1" applyFill="1" applyBorder="1" applyAlignment="1">
      <alignment/>
    </xf>
    <xf numFmtId="179" fontId="36" fillId="0" borderId="0" xfId="0" applyNumberFormat="1" applyFont="1" applyAlignment="1">
      <alignment/>
    </xf>
    <xf numFmtId="179" fontId="36" fillId="0" borderId="12" xfId="0" applyNumberFormat="1" applyFont="1" applyBorder="1" applyAlignment="1">
      <alignment/>
    </xf>
    <xf numFmtId="164" fontId="24" fillId="41" borderId="10" xfId="0" applyNumberFormat="1" applyFont="1" applyFill="1" applyBorder="1" applyAlignment="1">
      <alignment horizontal="right"/>
    </xf>
    <xf numFmtId="171" fontId="35" fillId="25" borderId="10" xfId="0" applyNumberFormat="1" applyFont="1" applyFill="1" applyBorder="1" applyAlignment="1">
      <alignment vertical="center" wrapText="1"/>
    </xf>
    <xf numFmtId="44" fontId="26" fillId="0" borderId="0" xfId="0" applyNumberFormat="1" applyFont="1" applyAlignment="1">
      <alignment/>
    </xf>
    <xf numFmtId="0" fontId="33" fillId="16" borderId="17" xfId="0" applyFont="1" applyFill="1" applyBorder="1" applyAlignment="1">
      <alignment vertical="center" wrapText="1"/>
    </xf>
    <xf numFmtId="179" fontId="32" fillId="42" borderId="17" xfId="0" applyNumberFormat="1" applyFont="1" applyFill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34" fillId="0" borderId="17" xfId="0" applyFont="1" applyFill="1" applyBorder="1" applyAlignment="1">
      <alignment horizontal="left"/>
    </xf>
    <xf numFmtId="0" fontId="34" fillId="16" borderId="17" xfId="0" applyFont="1" applyFill="1" applyBorder="1" applyAlignment="1">
      <alignment/>
    </xf>
    <xf numFmtId="0" fontId="33" fillId="16" borderId="17" xfId="0" applyFont="1" applyFill="1" applyBorder="1" applyAlignment="1">
      <alignment/>
    </xf>
    <xf numFmtId="4" fontId="33" fillId="16" borderId="17" xfId="0" applyNumberFormat="1" applyFont="1" applyFill="1" applyBorder="1" applyAlignment="1">
      <alignment/>
    </xf>
    <xf numFmtId="0" fontId="35" fillId="28" borderId="0" xfId="0" applyFont="1" applyFill="1" applyBorder="1" applyAlignment="1">
      <alignment horizontal="center"/>
    </xf>
    <xf numFmtId="164" fontId="35" fillId="28" borderId="0" xfId="0" applyNumberFormat="1" applyFont="1" applyFill="1" applyBorder="1" applyAlignment="1">
      <alignment/>
    </xf>
    <xf numFmtId="164" fontId="35" fillId="27" borderId="20" xfId="0" applyNumberFormat="1" applyFont="1" applyFill="1" applyBorder="1" applyAlignment="1">
      <alignment/>
    </xf>
    <xf numFmtId="4" fontId="35" fillId="39" borderId="2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26" fillId="0" borderId="0" xfId="0" applyFont="1" applyAlignment="1">
      <alignment horizontal="right"/>
    </xf>
    <xf numFmtId="0" fontId="26" fillId="43" borderId="0" xfId="0" applyFont="1" applyFill="1" applyAlignment="1">
      <alignment horizontal="right"/>
    </xf>
    <xf numFmtId="0" fontId="25" fillId="44" borderId="10" xfId="0" applyFont="1" applyFill="1" applyBorder="1" applyAlignment="1">
      <alignment/>
    </xf>
    <xf numFmtId="164" fontId="25" fillId="44" borderId="0" xfId="0" applyNumberFormat="1" applyFont="1" applyFill="1" applyBorder="1" applyAlignment="1">
      <alignment/>
    </xf>
    <xf numFmtId="179" fontId="25" fillId="44" borderId="0" xfId="0" applyNumberFormat="1" applyFont="1" applyFill="1" applyBorder="1" applyAlignment="1">
      <alignment/>
    </xf>
    <xf numFmtId="0" fontId="36" fillId="39" borderId="20" xfId="44" applyFont="1" applyFill="1" applyBorder="1" applyAlignment="1">
      <alignment vertical="center" wrapText="1"/>
      <protection/>
    </xf>
    <xf numFmtId="0" fontId="24" fillId="14" borderId="20" xfId="0" applyFont="1" applyFill="1" applyBorder="1" applyAlignment="1">
      <alignment horizontal="center" vertical="center"/>
    </xf>
    <xf numFmtId="0" fontId="24" fillId="14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171" fontId="23" fillId="0" borderId="20" xfId="0" applyNumberFormat="1" applyFont="1" applyBorder="1" applyAlignment="1">
      <alignment horizontal="center" vertical="center"/>
    </xf>
    <xf numFmtId="171" fontId="23" fillId="0" borderId="20" xfId="0" applyNumberFormat="1" applyFont="1" applyBorder="1" applyAlignment="1">
      <alignment vertical="center"/>
    </xf>
    <xf numFmtId="0" fontId="23" fillId="39" borderId="20" xfId="0" applyFont="1" applyFill="1" applyBorder="1" applyAlignment="1">
      <alignment vertical="center"/>
    </xf>
    <xf numFmtId="0" fontId="23" fillId="0" borderId="20" xfId="0" applyFont="1" applyBorder="1" applyAlignment="1">
      <alignment vertical="center" wrapText="1"/>
    </xf>
    <xf numFmtId="0" fontId="23" fillId="24" borderId="20" xfId="44" applyFont="1" applyFill="1" applyBorder="1" applyAlignment="1">
      <alignment vertical="center"/>
      <protection/>
    </xf>
    <xf numFmtId="0" fontId="23" fillId="0" borderId="20" xfId="44" applyFont="1" applyBorder="1" applyAlignment="1">
      <alignment horizontal="center" vertical="center"/>
      <protection/>
    </xf>
    <xf numFmtId="171" fontId="23" fillId="0" borderId="20" xfId="44" applyNumberFormat="1" applyFont="1" applyBorder="1" applyAlignment="1">
      <alignment horizontal="center" vertical="center"/>
      <protection/>
    </xf>
    <xf numFmtId="0" fontId="23" fillId="0" borderId="20" xfId="44" applyFont="1" applyBorder="1" applyAlignment="1">
      <alignment vertical="center" wrapText="1"/>
      <protection/>
    </xf>
    <xf numFmtId="0" fontId="23" fillId="24" borderId="20" xfId="44" applyFont="1" applyFill="1" applyBorder="1" applyAlignment="1">
      <alignment vertical="center" wrapText="1"/>
      <protection/>
    </xf>
    <xf numFmtId="0" fontId="24" fillId="45" borderId="20" xfId="0" applyFont="1" applyFill="1" applyBorder="1" applyAlignment="1">
      <alignment horizontal="center" vertical="center"/>
    </xf>
    <xf numFmtId="44" fontId="23" fillId="0" borderId="20" xfId="0" applyNumberFormat="1" applyFont="1" applyBorder="1" applyAlignment="1">
      <alignment/>
    </xf>
    <xf numFmtId="0" fontId="23" fillId="24" borderId="20" xfId="0" applyFont="1" applyFill="1" applyBorder="1" applyAlignment="1">
      <alignment horizontal="center" vertical="center"/>
    </xf>
    <xf numFmtId="171" fontId="23" fillId="24" borderId="20" xfId="0" applyNumberFormat="1" applyFont="1" applyFill="1" applyBorder="1" applyAlignment="1">
      <alignment horizontal="center" vertical="center"/>
    </xf>
    <xf numFmtId="44" fontId="23" fillId="25" borderId="20" xfId="0" applyNumberFormat="1" applyFont="1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171" fontId="23" fillId="0" borderId="20" xfId="0" applyNumberFormat="1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vertical="center" wrapText="1"/>
    </xf>
    <xf numFmtId="0" fontId="23" fillId="24" borderId="20" xfId="0" applyFont="1" applyFill="1" applyBorder="1" applyAlignment="1">
      <alignment vertical="center"/>
    </xf>
    <xf numFmtId="171" fontId="24" fillId="0" borderId="20" xfId="0" applyNumberFormat="1" applyFont="1" applyBorder="1" applyAlignment="1">
      <alignment vertical="center"/>
    </xf>
    <xf numFmtId="0" fontId="36" fillId="0" borderId="20" xfId="44" applyFont="1" applyBorder="1" applyAlignment="1">
      <alignment vertical="center"/>
      <protection/>
    </xf>
    <xf numFmtId="0" fontId="36" fillId="24" borderId="20" xfId="44" applyFont="1" applyFill="1" applyBorder="1" applyAlignment="1">
      <alignment horizontal="center" vertical="center"/>
      <protection/>
    </xf>
    <xf numFmtId="171" fontId="36" fillId="24" borderId="20" xfId="44" applyNumberFormat="1" applyFont="1" applyFill="1" applyBorder="1" applyAlignment="1">
      <alignment horizontal="center" vertical="center"/>
      <protection/>
    </xf>
    <xf numFmtId="171" fontId="35" fillId="0" borderId="20" xfId="44" applyNumberFormat="1" applyFont="1" applyBorder="1" applyAlignment="1">
      <alignment vertical="center"/>
      <protection/>
    </xf>
    <xf numFmtId="164" fontId="24" fillId="41" borderId="20" xfId="0" applyNumberFormat="1" applyFont="1" applyFill="1" applyBorder="1" applyAlignment="1">
      <alignment horizontal="right"/>
    </xf>
    <xf numFmtId="171" fontId="35" fillId="25" borderId="20" xfId="0" applyNumberFormat="1" applyFont="1" applyFill="1" applyBorder="1" applyAlignment="1">
      <alignment vertical="center" wrapText="1"/>
    </xf>
    <xf numFmtId="0" fontId="23" fillId="0" borderId="0" xfId="44" applyFont="1">
      <alignment/>
      <protection/>
    </xf>
    <xf numFmtId="0" fontId="23" fillId="0" borderId="0" xfId="44" applyFont="1" applyAlignment="1">
      <alignment horizontal="right"/>
      <protection/>
    </xf>
    <xf numFmtId="0" fontId="24" fillId="30" borderId="20" xfId="44" applyFont="1" applyFill="1" applyBorder="1" applyAlignment="1">
      <alignment horizontal="center" vertical="center"/>
      <protection/>
    </xf>
    <xf numFmtId="0" fontId="24" fillId="30" borderId="20" xfId="44" applyFont="1" applyFill="1" applyBorder="1" applyAlignment="1">
      <alignment horizontal="center" vertical="center" wrapText="1"/>
      <protection/>
    </xf>
    <xf numFmtId="0" fontId="23" fillId="0" borderId="20" xfId="44" applyFont="1" applyBorder="1" applyAlignment="1">
      <alignment horizontal="center" vertical="center" wrapText="1"/>
      <protection/>
    </xf>
    <xf numFmtId="0" fontId="23" fillId="0" borderId="20" xfId="44" applyFont="1" applyBorder="1" applyAlignment="1">
      <alignment horizontal="justify" vertical="center" wrapText="1"/>
      <protection/>
    </xf>
    <xf numFmtId="0" fontId="23" fillId="24" borderId="20" xfId="44" applyFont="1" applyFill="1" applyBorder="1" applyAlignment="1">
      <alignment horizontal="center" vertical="center" wrapText="1"/>
      <protection/>
    </xf>
    <xf numFmtId="171" fontId="23" fillId="24" borderId="20" xfId="44" applyNumberFormat="1" applyFont="1" applyFill="1" applyBorder="1" applyAlignment="1">
      <alignment horizontal="right" vertical="center"/>
      <protection/>
    </xf>
    <xf numFmtId="171" fontId="23" fillId="0" borderId="20" xfId="44" applyNumberFormat="1" applyFont="1" applyBorder="1" applyAlignment="1">
      <alignment horizontal="right" vertical="center"/>
      <protection/>
    </xf>
    <xf numFmtId="171" fontId="24" fillId="0" borderId="20" xfId="44" applyNumberFormat="1" applyFont="1" applyBorder="1" applyAlignment="1">
      <alignment horizontal="right" vertical="center"/>
      <protection/>
    </xf>
    <xf numFmtId="0" fontId="23" fillId="0" borderId="20" xfId="0" applyFont="1" applyFill="1" applyBorder="1" applyAlignment="1">
      <alignment horizontal="justify" vertical="center" wrapText="1"/>
    </xf>
    <xf numFmtId="171" fontId="23" fillId="0" borderId="20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justify" vertical="center"/>
    </xf>
    <xf numFmtId="0" fontId="24" fillId="0" borderId="20" xfId="0" applyFont="1" applyBorder="1" applyAlignment="1">
      <alignment horizontal="center" vertical="center"/>
    </xf>
    <xf numFmtId="43" fontId="24" fillId="24" borderId="20" xfId="0" applyNumberFormat="1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justify" vertical="center" wrapText="1"/>
    </xf>
    <xf numFmtId="0" fontId="43" fillId="24" borderId="20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justify" vertical="center"/>
    </xf>
    <xf numFmtId="0" fontId="23" fillId="24" borderId="20" xfId="0" applyFont="1" applyFill="1" applyBorder="1" applyAlignment="1">
      <alignment horizontal="justify" vertical="center" wrapText="1"/>
    </xf>
    <xf numFmtId="0" fontId="43" fillId="0" borderId="0" xfId="0" applyFont="1" applyBorder="1" applyAlignment="1">
      <alignment/>
    </xf>
    <xf numFmtId="0" fontId="44" fillId="30" borderId="2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63" fillId="0" borderId="20" xfId="0" applyFont="1" applyFill="1" applyBorder="1" applyAlignment="1">
      <alignment horizontal="center"/>
    </xf>
    <xf numFmtId="0" fontId="23" fillId="0" borderId="20" xfId="52" applyFont="1" applyFill="1" applyBorder="1">
      <alignment/>
      <protection/>
    </xf>
    <xf numFmtId="0" fontId="23" fillId="0" borderId="20" xfId="0" applyFont="1" applyFill="1" applyBorder="1" applyAlignment="1">
      <alignment horizontal="center"/>
    </xf>
    <xf numFmtId="44" fontId="23" fillId="0" borderId="20" xfId="48" applyFont="1" applyFill="1" applyBorder="1" applyAlignment="1" applyProtection="1">
      <alignment horizontal="center"/>
      <protection/>
    </xf>
    <xf numFmtId="44" fontId="43" fillId="0" borderId="20" xfId="48" applyFont="1" applyFill="1" applyBorder="1" applyAlignment="1">
      <alignment horizontal="center"/>
    </xf>
    <xf numFmtId="44" fontId="63" fillId="0" borderId="20" xfId="48" applyFont="1" applyFill="1" applyBorder="1" applyAlignment="1">
      <alignment/>
    </xf>
    <xf numFmtId="0" fontId="23" fillId="0" borderId="20" xfId="52" applyFont="1" applyFill="1" applyBorder="1" applyAlignment="1">
      <alignment vertical="center"/>
      <protection/>
    </xf>
    <xf numFmtId="0" fontId="23" fillId="0" borderId="20" xfId="52" applyFont="1" applyFill="1" applyBorder="1" applyAlignment="1">
      <alignment wrapText="1"/>
      <protection/>
    </xf>
    <xf numFmtId="0" fontId="63" fillId="0" borderId="20" xfId="52" applyFont="1" applyFill="1" applyBorder="1">
      <alignment/>
      <protection/>
    </xf>
    <xf numFmtId="44" fontId="64" fillId="0" borderId="20" xfId="0" applyNumberFormat="1" applyFont="1" applyBorder="1" applyAlignment="1">
      <alignment/>
    </xf>
    <xf numFmtId="0" fontId="23" fillId="42" borderId="20" xfId="52" applyFont="1" applyFill="1" applyBorder="1">
      <alignment/>
      <protection/>
    </xf>
    <xf numFmtId="179" fontId="35" fillId="27" borderId="12" xfId="0" applyNumberFormat="1" applyFont="1" applyFill="1" applyBorder="1" applyAlignment="1">
      <alignment/>
    </xf>
    <xf numFmtId="164" fontId="24" fillId="16" borderId="16" xfId="0" applyNumberFormat="1" applyFont="1" applyFill="1" applyBorder="1" applyAlignment="1">
      <alignment/>
    </xf>
    <xf numFmtId="0" fontId="24" fillId="16" borderId="1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44" fontId="65" fillId="43" borderId="0" xfId="0" applyNumberFormat="1" applyFont="1" applyFill="1" applyAlignment="1">
      <alignment horizontal="right"/>
    </xf>
    <xf numFmtId="171" fontId="36" fillId="0" borderId="10" xfId="0" applyNumberFormat="1" applyFont="1" applyBorder="1" applyAlignment="1">
      <alignment horizontal="center" vertical="center" wrapText="1"/>
    </xf>
    <xf numFmtId="179" fontId="24" fillId="17" borderId="12" xfId="0" applyNumberFormat="1" applyFont="1" applyFill="1" applyBorder="1" applyAlignment="1">
      <alignment/>
    </xf>
    <xf numFmtId="179" fontId="24" fillId="0" borderId="12" xfId="0" applyNumberFormat="1" applyFont="1" applyFill="1" applyBorder="1" applyAlignment="1">
      <alignment/>
    </xf>
    <xf numFmtId="179" fontId="24" fillId="25" borderId="12" xfId="0" applyNumberFormat="1" applyFont="1" applyFill="1" applyBorder="1" applyAlignment="1">
      <alignment/>
    </xf>
    <xf numFmtId="0" fontId="26" fillId="0" borderId="0" xfId="0" applyFont="1" applyAlignment="1">
      <alignment vertical="top" wrapText="1"/>
    </xf>
    <xf numFmtId="167" fontId="34" fillId="0" borderId="18" xfId="68" applyFont="1" applyFill="1" applyBorder="1" applyAlignment="1" applyProtection="1">
      <alignment/>
      <protection/>
    </xf>
    <xf numFmtId="4" fontId="33" fillId="16" borderId="22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23" xfId="0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171" fontId="36" fillId="0" borderId="16" xfId="0" applyNumberFormat="1" applyFont="1" applyBorder="1" applyAlignment="1">
      <alignment horizontal="center" vertical="center"/>
    </xf>
    <xf numFmtId="0" fontId="36" fillId="46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wrapText="1"/>
    </xf>
    <xf numFmtId="171" fontId="23" fillId="42" borderId="20" xfId="0" applyNumberFormat="1" applyFont="1" applyFill="1" applyBorder="1" applyAlignment="1">
      <alignment horizontal="center" vertical="center"/>
    </xf>
    <xf numFmtId="171" fontId="24" fillId="47" borderId="20" xfId="0" applyNumberFormat="1" applyFont="1" applyFill="1" applyBorder="1" applyAlignment="1">
      <alignment vertical="center"/>
    </xf>
    <xf numFmtId="171" fontId="43" fillId="24" borderId="20" xfId="0" applyNumberFormat="1" applyFont="1" applyFill="1" applyBorder="1" applyAlignment="1">
      <alignment vertical="center"/>
    </xf>
    <xf numFmtId="171" fontId="43" fillId="0" borderId="20" xfId="0" applyNumberFormat="1" applyFont="1" applyBorder="1" applyAlignment="1">
      <alignment vertical="center"/>
    </xf>
    <xf numFmtId="171" fontId="35" fillId="0" borderId="20" xfId="44" applyNumberFormat="1" applyFont="1" applyFill="1" applyBorder="1" applyAlignment="1">
      <alignment vertical="center"/>
      <protection/>
    </xf>
    <xf numFmtId="0" fontId="66" fillId="0" borderId="0" xfId="0" applyFont="1" applyAlignment="1">
      <alignment vertical="center"/>
    </xf>
    <xf numFmtId="0" fontId="66" fillId="48" borderId="24" xfId="0" applyFont="1" applyFill="1" applyBorder="1" applyAlignment="1">
      <alignment vertical="center"/>
    </xf>
    <xf numFmtId="0" fontId="32" fillId="0" borderId="17" xfId="0" applyFont="1" applyBorder="1" applyAlignment="1">
      <alignment horizontal="left"/>
    </xf>
    <xf numFmtId="0" fontId="66" fillId="49" borderId="25" xfId="0" applyFont="1" applyFill="1" applyBorder="1" applyAlignment="1">
      <alignment vertical="center"/>
    </xf>
    <xf numFmtId="0" fontId="66" fillId="50" borderId="25" xfId="0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top" wrapText="1"/>
    </xf>
    <xf numFmtId="167" fontId="34" fillId="51" borderId="17" xfId="68" applyFont="1" applyFill="1" applyBorder="1" applyAlignment="1" applyProtection="1">
      <alignment/>
      <protection/>
    </xf>
    <xf numFmtId="0" fontId="33" fillId="31" borderId="17" xfId="0" applyFont="1" applyFill="1" applyBorder="1" applyAlignment="1">
      <alignment horizontal="center" vertical="center"/>
    </xf>
    <xf numFmtId="0" fontId="33" fillId="31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4" fillId="0" borderId="0" xfId="0" applyFont="1" applyAlignment="1">
      <alignment/>
    </xf>
    <xf numFmtId="0" fontId="47" fillId="0" borderId="0" xfId="0" applyFont="1" applyFill="1" applyAlignment="1">
      <alignment/>
    </xf>
    <xf numFmtId="0" fontId="49" fillId="42" borderId="26" xfId="52" applyFont="1" applyFill="1" applyBorder="1">
      <alignment/>
      <protection/>
    </xf>
    <xf numFmtId="179" fontId="48" fillId="42" borderId="26" xfId="52" applyNumberFormat="1" applyFont="1" applyFill="1" applyBorder="1">
      <alignment/>
      <protection/>
    </xf>
    <xf numFmtId="179" fontId="48" fillId="42" borderId="27" xfId="52" applyNumberFormat="1" applyFont="1" applyFill="1" applyBorder="1">
      <alignment/>
      <protection/>
    </xf>
    <xf numFmtId="0" fontId="34" fillId="42" borderId="0" xfId="0" applyFont="1" applyFill="1" applyAlignment="1">
      <alignment/>
    </xf>
    <xf numFmtId="0" fontId="32" fillId="42" borderId="0" xfId="0" applyFont="1" applyFill="1" applyAlignment="1">
      <alignment/>
    </xf>
    <xf numFmtId="179" fontId="48" fillId="42" borderId="26" xfId="52" applyNumberFormat="1" applyFont="1" applyFill="1" applyBorder="1" applyAlignment="1">
      <alignment horizontal="center"/>
      <protection/>
    </xf>
    <xf numFmtId="179" fontId="50" fillId="42" borderId="26" xfId="52" applyNumberFormat="1" applyFont="1" applyFill="1" applyBorder="1">
      <alignment/>
      <protection/>
    </xf>
    <xf numFmtId="179" fontId="51" fillId="42" borderId="26" xfId="52" applyNumberFormat="1" applyFont="1" applyFill="1" applyBorder="1" applyAlignment="1">
      <alignment horizontal="center"/>
      <protection/>
    </xf>
    <xf numFmtId="0" fontId="51" fillId="42" borderId="26" xfId="52" applyFont="1" applyFill="1" applyBorder="1" applyAlignment="1">
      <alignment/>
      <protection/>
    </xf>
    <xf numFmtId="0" fontId="52" fillId="42" borderId="26" xfId="52" applyFont="1" applyFill="1" applyBorder="1" applyAlignment="1">
      <alignment horizontal="left"/>
      <protection/>
    </xf>
    <xf numFmtId="43" fontId="52" fillId="42" borderId="26" xfId="7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179" fontId="34" fillId="0" borderId="0" xfId="0" applyNumberFormat="1" applyFont="1" applyAlignment="1">
      <alignment/>
    </xf>
    <xf numFmtId="0" fontId="24" fillId="45" borderId="20" xfId="0" applyFont="1" applyFill="1" applyBorder="1" applyAlignment="1">
      <alignment horizontal="center" vertical="center" wrapText="1"/>
    </xf>
    <xf numFmtId="44" fontId="24" fillId="45" borderId="20" xfId="48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52" borderId="2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42" borderId="20" xfId="0" applyFont="1" applyFill="1" applyBorder="1" applyAlignment="1">
      <alignment horizontal="center"/>
    </xf>
    <xf numFmtId="0" fontId="18" fillId="42" borderId="20" xfId="0" applyFont="1" applyFill="1" applyBorder="1" applyAlignment="1">
      <alignment horizontal="center" wrapText="1"/>
    </xf>
    <xf numFmtId="0" fontId="18" fillId="25" borderId="2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7" fillId="53" borderId="28" xfId="0" applyFont="1" applyFill="1" applyBorder="1" applyAlignment="1">
      <alignment horizontal="center" wrapText="1"/>
    </xf>
    <xf numFmtId="49" fontId="56" fillId="0" borderId="20" xfId="0" applyNumberFormat="1" applyFont="1" applyBorder="1" applyAlignment="1">
      <alignment horizontal="center"/>
    </xf>
    <xf numFmtId="0" fontId="56" fillId="0" borderId="20" xfId="0" applyFont="1" applyBorder="1" applyAlignment="1">
      <alignment/>
    </xf>
    <xf numFmtId="0" fontId="56" fillId="0" borderId="20" xfId="0" applyFont="1" applyBorder="1" applyAlignment="1">
      <alignment horizontal="center"/>
    </xf>
    <xf numFmtId="4" fontId="0" fillId="31" borderId="20" xfId="0" applyNumberFormat="1" applyFont="1" applyFill="1" applyBorder="1" applyAlignment="1">
      <alignment wrapText="1"/>
    </xf>
    <xf numFmtId="4" fontId="0" fillId="52" borderId="20" xfId="0" applyNumberFormat="1" applyFont="1" applyFill="1" applyBorder="1" applyAlignment="1">
      <alignment/>
    </xf>
    <xf numFmtId="4" fontId="0" fillId="32" borderId="20" xfId="0" applyNumberFormat="1" applyFont="1" applyFill="1" applyBorder="1" applyAlignment="1">
      <alignment/>
    </xf>
    <xf numFmtId="4" fontId="0" fillId="26" borderId="20" xfId="0" applyNumberFormat="1" applyFont="1" applyFill="1" applyBorder="1" applyAlignment="1">
      <alignment/>
    </xf>
    <xf numFmtId="4" fontId="0" fillId="42" borderId="20" xfId="0" applyNumberFormat="1" applyFont="1" applyFill="1" applyBorder="1" applyAlignment="1">
      <alignment wrapText="1"/>
    </xf>
    <xf numFmtId="4" fontId="0" fillId="42" borderId="20" xfId="0" applyNumberFormat="1" applyFont="1" applyFill="1" applyBorder="1" applyAlignment="1">
      <alignment/>
    </xf>
    <xf numFmtId="4" fontId="68" fillId="54" borderId="20" xfId="0" applyNumberFormat="1" applyFont="1" applyFill="1" applyBorder="1" applyAlignment="1">
      <alignment/>
    </xf>
    <xf numFmtId="4" fontId="61" fillId="42" borderId="20" xfId="0" applyNumberFormat="1" applyFont="1" applyFill="1" applyBorder="1" applyAlignment="1">
      <alignment/>
    </xf>
    <xf numFmtId="4" fontId="68" fillId="55" borderId="28" xfId="0" applyNumberFormat="1" applyFont="1" applyFill="1" applyBorder="1" applyAlignment="1">
      <alignment/>
    </xf>
    <xf numFmtId="39" fontId="0" fillId="42" borderId="20" xfId="0" applyNumberFormat="1" applyFont="1" applyFill="1" applyBorder="1" applyAlignment="1">
      <alignment/>
    </xf>
    <xf numFmtId="0" fontId="56" fillId="0" borderId="20" xfId="0" applyFont="1" applyFill="1" applyBorder="1" applyAlignment="1">
      <alignment horizontal="left"/>
    </xf>
    <xf numFmtId="0" fontId="56" fillId="0" borderId="20" xfId="0" applyFont="1" applyFill="1" applyBorder="1" applyAlignment="1">
      <alignment horizontal="center"/>
    </xf>
    <xf numFmtId="0" fontId="56" fillId="0" borderId="20" xfId="0" applyFont="1" applyBorder="1" applyAlignment="1">
      <alignment horizontal="left"/>
    </xf>
    <xf numFmtId="4" fontId="0" fillId="31" borderId="20" xfId="0" applyNumberFormat="1" applyFont="1" applyFill="1" applyBorder="1" applyAlignment="1">
      <alignment/>
    </xf>
    <xf numFmtId="4" fontId="0" fillId="56" borderId="20" xfId="0" applyNumberFormat="1" applyFont="1" applyFill="1" applyBorder="1" applyAlignment="1">
      <alignment/>
    </xf>
    <xf numFmtId="4" fontId="0" fillId="56" borderId="0" xfId="0" applyNumberFormat="1" applyFont="1" applyFill="1" applyBorder="1" applyAlignment="1">
      <alignment/>
    </xf>
    <xf numFmtId="0" fontId="68" fillId="53" borderId="28" xfId="0" applyFont="1" applyFill="1" applyBorder="1" applyAlignment="1">
      <alignment/>
    </xf>
    <xf numFmtId="0" fontId="18" fillId="0" borderId="20" xfId="0" applyFont="1" applyBorder="1" applyAlignment="1">
      <alignment horizontal="right"/>
    </xf>
    <xf numFmtId="4" fontId="18" fillId="31" borderId="20" xfId="0" applyNumberFormat="1" applyFont="1" applyFill="1" applyBorder="1" applyAlignment="1">
      <alignment/>
    </xf>
    <xf numFmtId="4" fontId="18" fillId="52" borderId="20" xfId="0" applyNumberFormat="1" applyFont="1" applyFill="1" applyBorder="1" applyAlignment="1">
      <alignment/>
    </xf>
    <xf numFmtId="4" fontId="18" fillId="32" borderId="20" xfId="0" applyNumberFormat="1" applyFont="1" applyFill="1" applyBorder="1" applyAlignment="1">
      <alignment/>
    </xf>
    <xf numFmtId="4" fontId="18" fillId="26" borderId="20" xfId="0" applyNumberFormat="1" applyFont="1" applyFill="1" applyBorder="1" applyAlignment="1">
      <alignment/>
    </xf>
    <xf numFmtId="4" fontId="18" fillId="42" borderId="20" xfId="0" applyNumberFormat="1" applyFont="1" applyFill="1" applyBorder="1" applyAlignment="1">
      <alignment/>
    </xf>
    <xf numFmtId="4" fontId="18" fillId="25" borderId="20" xfId="0" applyNumberFormat="1" applyFont="1" applyFill="1" applyBorder="1" applyAlignment="1">
      <alignment/>
    </xf>
    <xf numFmtId="4" fontId="67" fillId="53" borderId="28" xfId="0" applyNumberFormat="1" applyFont="1" applyFill="1" applyBorder="1" applyAlignment="1">
      <alignment/>
    </xf>
    <xf numFmtId="179" fontId="50" fillId="42" borderId="29" xfId="52" applyNumberFormat="1" applyFont="1" applyFill="1" applyBorder="1">
      <alignment/>
      <protection/>
    </xf>
    <xf numFmtId="0" fontId="51" fillId="42" borderId="29" xfId="52" applyFont="1" applyFill="1" applyBorder="1" applyAlignment="1">
      <alignment/>
      <protection/>
    </xf>
    <xf numFmtId="0" fontId="52" fillId="42" borderId="29" xfId="52" applyFont="1" applyFill="1" applyBorder="1" applyAlignment="1">
      <alignment horizontal="left"/>
      <protection/>
    </xf>
    <xf numFmtId="43" fontId="52" fillId="42" borderId="29" xfId="71" applyFont="1" applyFill="1" applyBorder="1" applyAlignment="1" applyProtection="1">
      <alignment/>
      <protection/>
    </xf>
    <xf numFmtId="179" fontId="48" fillId="42" borderId="0" xfId="52" applyNumberFormat="1" applyFont="1" applyFill="1" applyBorder="1">
      <alignment/>
      <protection/>
    </xf>
    <xf numFmtId="9" fontId="51" fillId="42" borderId="29" xfId="52" applyNumberFormat="1" applyFont="1" applyFill="1" applyBorder="1" applyAlignment="1">
      <alignment horizontal="center"/>
      <protection/>
    </xf>
    <xf numFmtId="0" fontId="48" fillId="42" borderId="26" xfId="0" applyFont="1" applyFill="1" applyBorder="1" applyAlignment="1">
      <alignment/>
    </xf>
    <xf numFmtId="171" fontId="46" fillId="42" borderId="20" xfId="0" applyNumberFormat="1" applyFont="1" applyFill="1" applyBorder="1" applyAlignment="1">
      <alignment/>
    </xf>
    <xf numFmtId="164" fontId="18" fillId="42" borderId="10" xfId="0" applyNumberFormat="1" applyFont="1" applyFill="1" applyBorder="1" applyAlignment="1">
      <alignment vertical="center"/>
    </xf>
    <xf numFmtId="0" fontId="33" fillId="16" borderId="30" xfId="0" applyFont="1" applyFill="1" applyBorder="1" applyAlignment="1">
      <alignment horizontal="right" vertical="center"/>
    </xf>
    <xf numFmtId="0" fontId="33" fillId="16" borderId="31" xfId="0" applyFont="1" applyFill="1" applyBorder="1" applyAlignment="1">
      <alignment horizontal="right" vertical="center"/>
    </xf>
    <xf numFmtId="0" fontId="33" fillId="16" borderId="19" xfId="0" applyFont="1" applyFill="1" applyBorder="1" applyAlignment="1">
      <alignment horizontal="right" vertical="center"/>
    </xf>
    <xf numFmtId="0" fontId="33" fillId="16" borderId="32" xfId="0" applyFont="1" applyFill="1" applyBorder="1" applyAlignment="1">
      <alignment horizontal="right" vertical="center"/>
    </xf>
    <xf numFmtId="0" fontId="33" fillId="16" borderId="33" xfId="0" applyFont="1" applyFill="1" applyBorder="1" applyAlignment="1">
      <alignment horizontal="right" vertical="center"/>
    </xf>
    <xf numFmtId="0" fontId="33" fillId="16" borderId="34" xfId="0" applyFont="1" applyFill="1" applyBorder="1" applyAlignment="1">
      <alignment horizontal="right" vertical="center"/>
    </xf>
    <xf numFmtId="4" fontId="33" fillId="16" borderId="30" xfId="0" applyNumberFormat="1" applyFont="1" applyFill="1" applyBorder="1" applyAlignment="1">
      <alignment horizontal="center" vertical="center"/>
    </xf>
    <xf numFmtId="4" fontId="33" fillId="16" borderId="19" xfId="0" applyNumberFormat="1" applyFont="1" applyFill="1" applyBorder="1" applyAlignment="1">
      <alignment horizontal="center" vertical="center"/>
    </xf>
    <xf numFmtId="4" fontId="33" fillId="16" borderId="32" xfId="0" applyNumberFormat="1" applyFont="1" applyFill="1" applyBorder="1" applyAlignment="1">
      <alignment horizontal="center" vertical="center"/>
    </xf>
    <xf numFmtId="4" fontId="33" fillId="16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3" fillId="16" borderId="17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right"/>
    </xf>
    <xf numFmtId="0" fontId="33" fillId="0" borderId="36" xfId="0" applyFont="1" applyBorder="1" applyAlignment="1">
      <alignment horizontal="right"/>
    </xf>
    <xf numFmtId="0" fontId="33" fillId="0" borderId="37" xfId="0" applyFont="1" applyBorder="1" applyAlignment="1">
      <alignment horizontal="right"/>
    </xf>
    <xf numFmtId="0" fontId="33" fillId="0" borderId="30" xfId="0" applyFont="1" applyBorder="1" applyAlignment="1">
      <alignment horizontal="right"/>
    </xf>
    <xf numFmtId="0" fontId="33" fillId="0" borderId="31" xfId="0" applyFont="1" applyBorder="1" applyAlignment="1">
      <alignment horizontal="right"/>
    </xf>
    <xf numFmtId="0" fontId="33" fillId="0" borderId="19" xfId="0" applyFont="1" applyBorder="1" applyAlignment="1">
      <alignment horizontal="right"/>
    </xf>
    <xf numFmtId="0" fontId="33" fillId="24" borderId="35" xfId="0" applyFont="1" applyFill="1" applyBorder="1" applyAlignment="1">
      <alignment horizontal="center"/>
    </xf>
    <xf numFmtId="0" fontId="33" fillId="24" borderId="36" xfId="0" applyFont="1" applyFill="1" applyBorder="1" applyAlignment="1">
      <alignment horizontal="center"/>
    </xf>
    <xf numFmtId="0" fontId="33" fillId="24" borderId="37" xfId="0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 vertical="center" wrapText="1"/>
    </xf>
    <xf numFmtId="0" fontId="33" fillId="16" borderId="38" xfId="0" applyFont="1" applyFill="1" applyBorder="1" applyAlignment="1">
      <alignment horizontal="center" vertical="center" wrapText="1"/>
    </xf>
    <xf numFmtId="0" fontId="25" fillId="27" borderId="35" xfId="0" applyFont="1" applyFill="1" applyBorder="1" applyAlignment="1">
      <alignment horizontal="center"/>
    </xf>
    <xf numFmtId="0" fontId="25" fillId="27" borderId="36" xfId="0" applyFont="1" applyFill="1" applyBorder="1" applyAlignment="1">
      <alignment horizontal="center"/>
    </xf>
    <xf numFmtId="0" fontId="25" fillId="27" borderId="37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44" fontId="32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top" wrapText="1"/>
    </xf>
    <xf numFmtId="0" fontId="51" fillId="42" borderId="39" xfId="52" applyFont="1" applyFill="1" applyBorder="1" applyAlignment="1">
      <alignment horizontal="left"/>
      <protection/>
    </xf>
    <xf numFmtId="0" fontId="51" fillId="42" borderId="26" xfId="52" applyFont="1" applyFill="1" applyBorder="1" applyAlignment="1">
      <alignment horizontal="left"/>
      <protection/>
    </xf>
    <xf numFmtId="0" fontId="33" fillId="16" borderId="40" xfId="0" applyFont="1" applyFill="1" applyBorder="1" applyAlignment="1">
      <alignment horizontal="right" vertical="center"/>
    </xf>
    <xf numFmtId="0" fontId="33" fillId="16" borderId="29" xfId="0" applyFont="1" applyFill="1" applyBorder="1" applyAlignment="1">
      <alignment horizontal="right" vertical="center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3" fillId="57" borderId="17" xfId="0" applyFont="1" applyFill="1" applyBorder="1" applyAlignment="1">
      <alignment horizontal="center"/>
    </xf>
    <xf numFmtId="0" fontId="51" fillId="42" borderId="26" xfId="52" applyFont="1" applyFill="1" applyBorder="1" applyAlignment="1">
      <alignment horizontal="left" wrapText="1"/>
      <protection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48" fillId="42" borderId="39" xfId="52" applyFont="1" applyFill="1" applyBorder="1" applyAlignment="1">
      <alignment horizontal="left"/>
      <protection/>
    </xf>
    <xf numFmtId="0" fontId="48" fillId="42" borderId="26" xfId="52" applyFont="1" applyFill="1" applyBorder="1" applyAlignment="1">
      <alignment horizontal="left"/>
      <protection/>
    </xf>
    <xf numFmtId="0" fontId="31" fillId="27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6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top" wrapText="1"/>
    </xf>
    <xf numFmtId="0" fontId="18" fillId="0" borderId="20" xfId="0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35" fillId="0" borderId="20" xfId="0" applyFont="1" applyBorder="1" applyAlignment="1">
      <alignment horizontal="right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5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4" fillId="0" borderId="2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28" borderId="10" xfId="0" applyFont="1" applyFill="1" applyBorder="1" applyAlignment="1">
      <alignment horizontal="center"/>
    </xf>
    <xf numFmtId="0" fontId="35" fillId="28" borderId="12" xfId="0" applyFont="1" applyFill="1" applyBorder="1" applyAlignment="1">
      <alignment horizontal="center"/>
    </xf>
    <xf numFmtId="0" fontId="35" fillId="39" borderId="20" xfId="0" applyFont="1" applyFill="1" applyBorder="1" applyAlignment="1">
      <alignment horizontal="right"/>
    </xf>
    <xf numFmtId="171" fontId="36" fillId="0" borderId="10" xfId="0" applyNumberFormat="1" applyFont="1" applyBorder="1" applyAlignment="1">
      <alignment horizontal="center" vertical="center" wrapText="1"/>
    </xf>
    <xf numFmtId="171" fontId="35" fillId="0" borderId="10" xfId="0" applyNumberFormat="1" applyFont="1" applyBorder="1" applyAlignment="1">
      <alignment vertical="center" wrapText="1"/>
    </xf>
    <xf numFmtId="0" fontId="35" fillId="0" borderId="12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35" fillId="0" borderId="16" xfId="0" applyFont="1" applyBorder="1" applyAlignment="1">
      <alignment horizontal="right" vertical="center"/>
    </xf>
    <xf numFmtId="171" fontId="35" fillId="25" borderId="12" xfId="0" applyNumberFormat="1" applyFont="1" applyFill="1" applyBorder="1" applyAlignment="1">
      <alignment horizontal="center" vertical="center" wrapText="1"/>
    </xf>
    <xf numFmtId="171" fontId="35" fillId="25" borderId="16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5" fillId="14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45" xfId="0" applyFont="1" applyBorder="1" applyAlignment="1">
      <alignment horizontal="right" vertical="center"/>
    </xf>
    <xf numFmtId="0" fontId="35" fillId="0" borderId="46" xfId="0" applyFont="1" applyBorder="1" applyAlignment="1">
      <alignment horizontal="right" vertical="center"/>
    </xf>
    <xf numFmtId="0" fontId="35" fillId="0" borderId="47" xfId="0" applyFont="1" applyBorder="1" applyAlignment="1">
      <alignment horizontal="right" vertical="center"/>
    </xf>
    <xf numFmtId="0" fontId="24" fillId="0" borderId="4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47" borderId="42" xfId="0" applyFont="1" applyFill="1" applyBorder="1" applyAlignment="1">
      <alignment horizontal="center" vertical="center"/>
    </xf>
    <xf numFmtId="0" fontId="24" fillId="47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right" vertical="center"/>
    </xf>
    <xf numFmtId="0" fontId="24" fillId="0" borderId="43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7" fillId="0" borderId="0" xfId="44" applyFont="1" applyBorder="1" applyAlignment="1">
      <alignment horizontal="center" vertical="center"/>
      <protection/>
    </xf>
    <xf numFmtId="0" fontId="35" fillId="0" borderId="20" xfId="44" applyFont="1" applyBorder="1" applyAlignment="1">
      <alignment vertical="center"/>
      <protection/>
    </xf>
    <xf numFmtId="0" fontId="24" fillId="0" borderId="0" xfId="44" applyFont="1" applyBorder="1" applyAlignment="1">
      <alignment horizontal="center" vertical="center"/>
      <protection/>
    </xf>
    <xf numFmtId="0" fontId="24" fillId="0" borderId="42" xfId="44" applyFont="1" applyBorder="1" applyAlignment="1">
      <alignment horizontal="right" vertical="center"/>
      <protection/>
    </xf>
    <xf numFmtId="0" fontId="24" fillId="0" borderId="43" xfId="44" applyFont="1" applyBorder="1" applyAlignment="1">
      <alignment horizontal="right" vertical="center"/>
      <protection/>
    </xf>
    <xf numFmtId="0" fontId="24" fillId="0" borderId="44" xfId="44" applyFont="1" applyBorder="1" applyAlignment="1">
      <alignment horizontal="right" vertical="center"/>
      <protection/>
    </xf>
    <xf numFmtId="0" fontId="23" fillId="0" borderId="20" xfId="0" applyFont="1" applyBorder="1" applyAlignment="1">
      <alignment horizontal="center" vertical="center" wrapText="1"/>
    </xf>
    <xf numFmtId="0" fontId="24" fillId="52" borderId="2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30" borderId="20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vertical="center"/>
    </xf>
    <xf numFmtId="171" fontId="43" fillId="24" borderId="2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64" fillId="0" borderId="42" xfId="0" applyFont="1" applyBorder="1" applyAlignment="1">
      <alignment horizontal="left"/>
    </xf>
    <xf numFmtId="0" fontId="64" fillId="0" borderId="43" xfId="0" applyFont="1" applyBorder="1" applyAlignment="1">
      <alignment horizontal="left"/>
    </xf>
    <xf numFmtId="0" fontId="64" fillId="0" borderId="44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5" fillId="0" borderId="20" xfId="44" applyFont="1" applyFill="1" applyBorder="1" applyAlignment="1">
      <alignment vertical="center"/>
      <protection/>
    </xf>
    <xf numFmtId="0" fontId="35" fillId="0" borderId="0" xfId="44" applyFont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center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1 1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2 2" xfId="70"/>
    <cellStyle name="Vírgula 3" xfId="71"/>
    <cellStyle name="Vírgula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CCCC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CD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76200</xdr:rowOff>
    </xdr:from>
    <xdr:to>
      <xdr:col>13</xdr:col>
      <xdr:colOff>381000</xdr:colOff>
      <xdr:row>6</xdr:row>
      <xdr:rowOff>171450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819150" y="76200"/>
          <a:ext cx="73247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DA JUSTIÇA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0</xdr:row>
      <xdr:rowOff>47625</xdr:rowOff>
    </xdr:from>
    <xdr:to>
      <xdr:col>5</xdr:col>
      <xdr:colOff>657225</xdr:colOff>
      <xdr:row>6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76325" y="47625"/>
          <a:ext cx="5819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0</xdr:col>
      <xdr:colOff>904875</xdr:colOff>
      <xdr:row>4</xdr:row>
      <xdr:rowOff>123825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647700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0</xdr:row>
      <xdr:rowOff>38100</xdr:rowOff>
    </xdr:from>
    <xdr:to>
      <xdr:col>7</xdr:col>
      <xdr:colOff>428625</xdr:colOff>
      <xdr:row>5</xdr:row>
      <xdr:rowOff>76200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57275" y="38100"/>
          <a:ext cx="57531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381000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19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28575</xdr:rowOff>
    </xdr:from>
    <xdr:to>
      <xdr:col>7</xdr:col>
      <xdr:colOff>228600</xdr:colOff>
      <xdr:row>5</xdr:row>
      <xdr:rowOff>66675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723900" y="28575"/>
          <a:ext cx="56578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323850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5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0</xdr:rowOff>
    </xdr:from>
    <xdr:to>
      <xdr:col>6</xdr:col>
      <xdr:colOff>0</xdr:colOff>
      <xdr:row>5</xdr:row>
      <xdr:rowOff>38100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714375" y="0"/>
          <a:ext cx="5133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581025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47625</xdr:rowOff>
    </xdr:from>
    <xdr:to>
      <xdr:col>8</xdr:col>
      <xdr:colOff>438150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14400" y="47625"/>
          <a:ext cx="5143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571500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47625</xdr:rowOff>
    </xdr:from>
    <xdr:to>
      <xdr:col>6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90600" y="47625"/>
          <a:ext cx="5429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266700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28575</xdr:rowOff>
    </xdr:from>
    <xdr:to>
      <xdr:col>5</xdr:col>
      <xdr:colOff>542925</xdr:colOff>
      <xdr:row>5</xdr:row>
      <xdr:rowOff>66675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104900" y="28575"/>
          <a:ext cx="52482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571500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23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0</xdr:row>
      <xdr:rowOff>47625</xdr:rowOff>
    </xdr:from>
    <xdr:to>
      <xdr:col>6</xdr:col>
      <xdr:colOff>476250</xdr:colOff>
      <xdr:row>5</xdr:row>
      <xdr:rowOff>114300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42975" y="47625"/>
          <a:ext cx="55340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342900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47625</xdr:rowOff>
    </xdr:from>
    <xdr:to>
      <xdr:col>6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104900" y="47625"/>
          <a:ext cx="4762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923925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66675</xdr:rowOff>
    </xdr:from>
    <xdr:to>
      <xdr:col>2</xdr:col>
      <xdr:colOff>381000</xdr:colOff>
      <xdr:row>5</xdr:row>
      <xdr:rowOff>104775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81075" y="66675"/>
          <a:ext cx="5829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76200</xdr:rowOff>
    </xdr:from>
    <xdr:to>
      <xdr:col>13</xdr:col>
      <xdr:colOff>381000</xdr:colOff>
      <xdr:row>6</xdr:row>
      <xdr:rowOff>171450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819150" y="76200"/>
          <a:ext cx="73247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DA JUSTIÇA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381000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47625</xdr:rowOff>
    </xdr:from>
    <xdr:to>
      <xdr:col>5</xdr:col>
      <xdr:colOff>0</xdr:colOff>
      <xdr:row>5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85825" y="47625"/>
          <a:ext cx="61055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2</xdr:col>
      <xdr:colOff>352425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0</xdr:rowOff>
    </xdr:from>
    <xdr:to>
      <xdr:col>8</xdr:col>
      <xdr:colOff>0</xdr:colOff>
      <xdr:row>5</xdr:row>
      <xdr:rowOff>38100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47725" y="0"/>
          <a:ext cx="49815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9525</xdr:rowOff>
    </xdr:from>
    <xdr:to>
      <xdr:col>5</xdr:col>
      <xdr:colOff>0</xdr:colOff>
      <xdr:row>5</xdr:row>
      <xdr:rowOff>9525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857250" y="9525"/>
          <a:ext cx="4733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314325</xdr:colOff>
      <xdr:row>3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47625</xdr:rowOff>
    </xdr:from>
    <xdr:to>
      <xdr:col>4</xdr:col>
      <xdr:colOff>1019175</xdr:colOff>
      <xdr:row>4</xdr:row>
      <xdr:rowOff>161925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19150" y="47625"/>
          <a:ext cx="55911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1038225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0</xdr:row>
      <xdr:rowOff>76200</xdr:rowOff>
    </xdr:from>
    <xdr:to>
      <xdr:col>4</xdr:col>
      <xdr:colOff>114300</xdr:colOff>
      <xdr:row>6</xdr:row>
      <xdr:rowOff>47625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76325" y="76200"/>
          <a:ext cx="48387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0</xdr:col>
      <xdr:colOff>1028700</xdr:colOff>
      <xdr:row>4</xdr:row>
      <xdr:rowOff>133350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1057275</xdr:colOff>
      <xdr:row>0</xdr:row>
      <xdr:rowOff>66675</xdr:rowOff>
    </xdr:from>
    <xdr:to>
      <xdr:col>3</xdr:col>
      <xdr:colOff>266700</xdr:colOff>
      <xdr:row>4</xdr:row>
      <xdr:rowOff>95250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1057275" y="66675"/>
          <a:ext cx="44386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495300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76200</xdr:rowOff>
    </xdr:from>
    <xdr:to>
      <xdr:col>13</xdr:col>
      <xdr:colOff>381000</xdr:colOff>
      <xdr:row>6</xdr:row>
      <xdr:rowOff>171450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819150" y="76200"/>
          <a:ext cx="7315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</xdr:rowOff>
    </xdr:from>
    <xdr:to>
      <xdr:col>9</xdr:col>
      <xdr:colOff>352425</xdr:colOff>
      <xdr:row>5</xdr:row>
      <xdr:rowOff>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09625" y="9525"/>
          <a:ext cx="3581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200025</xdr:colOff>
      <xdr:row>4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495300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0</xdr:row>
      <xdr:rowOff>47625</xdr:rowOff>
    </xdr:from>
    <xdr:to>
      <xdr:col>7</xdr:col>
      <xdr:colOff>161925</xdr:colOff>
      <xdr:row>6</xdr:row>
      <xdr:rowOff>114300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38225" y="47625"/>
          <a:ext cx="52863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DA JUSTIÇA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952500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47625</xdr:rowOff>
    </xdr:from>
    <xdr:to>
      <xdr:col>3</xdr:col>
      <xdr:colOff>923925</xdr:colOff>
      <xdr:row>6</xdr:row>
      <xdr:rowOff>85725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923925" y="47625"/>
          <a:ext cx="44481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1019175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0</xdr:row>
      <xdr:rowOff>66675</xdr:rowOff>
    </xdr:from>
    <xdr:to>
      <xdr:col>7</xdr:col>
      <xdr:colOff>371475</xdr:colOff>
      <xdr:row>6</xdr:row>
      <xdr:rowOff>123825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866775" y="66675"/>
          <a:ext cx="7105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923925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0</xdr:row>
      <xdr:rowOff>47625</xdr:rowOff>
    </xdr:from>
    <xdr:to>
      <xdr:col>3</xdr:col>
      <xdr:colOff>847725</xdr:colOff>
      <xdr:row>6</xdr:row>
      <xdr:rowOff>114300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028700" y="47625"/>
          <a:ext cx="4362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 DO ESTADO 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DE DIREITOS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HUMANOS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ATENDIMENTO SÓCIOEDUCATIVO DO ESTADO ESPÍRITO SANTO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 E FINANCEIRA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GERÊNCIA DE CONVÊNIOS E PARCERIAS VOLUNTÁRIAS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9:Z69"/>
  <sheetViews>
    <sheetView view="pageBreakPreview" zoomScaleNormal="75" zoomScaleSheetLayoutView="100" zoomScalePageLayoutView="0" workbookViewId="0" topLeftCell="A7">
      <selection activeCell="Q38" sqref="Q38"/>
    </sheetView>
  </sheetViews>
  <sheetFormatPr defaultColWidth="19.00390625" defaultRowHeight="15"/>
  <cols>
    <col min="1" max="1" width="4.28125" style="1" customWidth="1"/>
    <col min="2" max="2" width="29.8515625" style="1" customWidth="1"/>
    <col min="3" max="3" width="4.421875" style="1" customWidth="1"/>
    <col min="4" max="4" width="9.421875" style="1" bestFit="1" customWidth="1"/>
    <col min="5" max="5" width="7.421875" style="1" customWidth="1"/>
    <col min="6" max="6" width="9.00390625" style="1" bestFit="1" customWidth="1"/>
    <col min="7" max="9" width="8.140625" style="1" bestFit="1" customWidth="1"/>
    <col min="10" max="10" width="7.421875" style="1" customWidth="1"/>
    <col min="11" max="11" width="7.7109375" style="1" customWidth="1"/>
    <col min="12" max="12" width="7.00390625" style="1" bestFit="1" customWidth="1"/>
    <col min="13" max="13" width="5.421875" style="1" customWidth="1"/>
    <col min="14" max="14" width="7.00390625" style="1" customWidth="1"/>
    <col min="15" max="15" width="8.140625" style="1" bestFit="1" customWidth="1"/>
    <col min="16" max="16" width="7.421875" style="1" customWidth="1"/>
    <col min="17" max="17" width="8.421875" style="1" customWidth="1"/>
    <col min="18" max="19" width="8.140625" style="1" bestFit="1" customWidth="1"/>
    <col min="20" max="20" width="10.00390625" style="1" customWidth="1"/>
    <col min="21" max="21" width="8.421875" style="1" customWidth="1"/>
    <col min="22" max="22" width="7.57421875" style="1" customWidth="1"/>
    <col min="23" max="23" width="13.421875" style="1" customWidth="1"/>
    <col min="24" max="24" width="12.8515625" style="1" customWidth="1"/>
    <col min="25" max="25" width="9.8515625" style="1" customWidth="1"/>
    <col min="26" max="26" width="13.8515625" style="1" customWidth="1"/>
    <col min="27" max="16384" width="19.00390625" style="1" customWidth="1"/>
  </cols>
  <sheetData>
    <row r="9" spans="1:26" ht="12.75">
      <c r="A9" s="420" t="s">
        <v>428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2"/>
      <c r="Z9" s="2"/>
    </row>
    <row r="10" spans="1:26" ht="1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420" t="s">
        <v>396</v>
      </c>
      <c r="Y10" s="422"/>
      <c r="Z10" s="2"/>
    </row>
    <row r="11" spans="1:26" ht="34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 t="s">
        <v>397</v>
      </c>
      <c r="Y11" s="74" t="s">
        <v>400</v>
      </c>
      <c r="Z11" s="2"/>
    </row>
    <row r="12" spans="1:26" ht="12.75" customHeight="1">
      <c r="A12" s="423" t="s">
        <v>28</v>
      </c>
      <c r="B12" s="413" t="s">
        <v>29</v>
      </c>
      <c r="C12" s="413" t="s">
        <v>449</v>
      </c>
      <c r="D12" s="413" t="s">
        <v>30</v>
      </c>
      <c r="E12" s="424" t="s">
        <v>31</v>
      </c>
      <c r="F12" s="413" t="s">
        <v>32</v>
      </c>
      <c r="G12" s="413" t="s">
        <v>33</v>
      </c>
      <c r="H12" s="413"/>
      <c r="I12" s="413"/>
      <c r="J12" s="413"/>
      <c r="K12" s="413"/>
      <c r="L12" s="413"/>
      <c r="M12" s="413"/>
      <c r="N12" s="413"/>
      <c r="O12" s="75"/>
      <c r="P12" s="75"/>
      <c r="Q12" s="75"/>
      <c r="R12" s="75"/>
      <c r="S12" s="75"/>
      <c r="T12" s="426" t="s">
        <v>34</v>
      </c>
      <c r="U12" s="427"/>
      <c r="V12" s="428"/>
      <c r="W12" s="413" t="s">
        <v>419</v>
      </c>
      <c r="X12" s="413" t="s">
        <v>418</v>
      </c>
      <c r="Y12" s="413" t="s">
        <v>398</v>
      </c>
      <c r="Z12" s="2"/>
    </row>
    <row r="13" spans="1:26" ht="39.75" customHeight="1">
      <c r="A13" s="423"/>
      <c r="B13" s="413"/>
      <c r="C13" s="413"/>
      <c r="D13" s="413"/>
      <c r="E13" s="425"/>
      <c r="F13" s="413"/>
      <c r="G13" s="75" t="s">
        <v>35</v>
      </c>
      <c r="H13" s="75" t="s">
        <v>36</v>
      </c>
      <c r="I13" s="75" t="s">
        <v>37</v>
      </c>
      <c r="J13" s="75" t="s">
        <v>38</v>
      </c>
      <c r="K13" s="75" t="s">
        <v>39</v>
      </c>
      <c r="L13" s="75" t="s">
        <v>40</v>
      </c>
      <c r="M13" s="75" t="s">
        <v>41</v>
      </c>
      <c r="N13" s="75" t="s">
        <v>42</v>
      </c>
      <c r="O13" s="75" t="s">
        <v>43</v>
      </c>
      <c r="P13" s="75" t="s">
        <v>44</v>
      </c>
      <c r="Q13" s="75" t="s">
        <v>45</v>
      </c>
      <c r="R13" s="75" t="s">
        <v>47</v>
      </c>
      <c r="S13" s="75" t="s">
        <v>48</v>
      </c>
      <c r="T13" s="75" t="s">
        <v>46</v>
      </c>
      <c r="U13" s="75" t="s">
        <v>49</v>
      </c>
      <c r="V13" s="127" t="s">
        <v>417</v>
      </c>
      <c r="W13" s="413"/>
      <c r="X13" s="413"/>
      <c r="Y13" s="413"/>
      <c r="Z13" s="2"/>
    </row>
    <row r="14" spans="1:26" ht="12.75">
      <c r="A14" s="76" t="s">
        <v>50</v>
      </c>
      <c r="B14" s="171" t="s">
        <v>447</v>
      </c>
      <c r="C14" s="77">
        <v>1</v>
      </c>
      <c r="D14" s="176">
        <f>'MEDIA SAL PREFEIT'!G11</f>
        <v>5548.4</v>
      </c>
      <c r="E14" s="79"/>
      <c r="F14" s="80">
        <f aca="true" t="shared" si="0" ref="F14:F23">D14*C14</f>
        <v>5548.4</v>
      </c>
      <c r="G14" s="78">
        <f aca="true" t="shared" si="1" ref="G14:G28">+F14/12</f>
        <v>462.3666666666666</v>
      </c>
      <c r="H14" s="78">
        <f aca="true" t="shared" si="2" ref="H14:H28">+(F14/12)+(G14/3)</f>
        <v>616.4888888888888</v>
      </c>
      <c r="I14" s="78">
        <f aca="true" t="shared" si="3" ref="I14:I28">+F14*0.08</f>
        <v>443.87199999999996</v>
      </c>
      <c r="J14" s="78">
        <f aca="true" t="shared" si="4" ref="J14:J28">+H14*0.08</f>
        <v>49.319111111111106</v>
      </c>
      <c r="K14" s="78">
        <f aca="true" t="shared" si="5" ref="K14:K28">+G14*0.08</f>
        <v>36.98933333333333</v>
      </c>
      <c r="L14" s="78">
        <f aca="true" t="shared" si="6" ref="L14:L28">$F14*0.01</f>
        <v>55.483999999999995</v>
      </c>
      <c r="M14" s="78"/>
      <c r="N14" s="78">
        <f aca="true" t="shared" si="7" ref="N14:N28">$G14*0.01</f>
        <v>4.623666666666666</v>
      </c>
      <c r="O14" s="78">
        <f>SUM(F14/12)</f>
        <v>462.3666666666666</v>
      </c>
      <c r="P14" s="78">
        <f aca="true" t="shared" si="8" ref="P14:P28">SUM(O14*0.08)</f>
        <v>36.98933333333333</v>
      </c>
      <c r="Q14" s="78">
        <f aca="true" t="shared" si="9" ref="Q14:Q28">SUM(I14+J14+K14+P14)*50%</f>
        <v>283.5848888888889</v>
      </c>
      <c r="R14" s="78">
        <f>((F14-S14)*22.5%)-602.96</f>
        <v>508.10709999999995</v>
      </c>
      <c r="S14" s="78">
        <f aca="true" t="shared" si="10" ref="S14:S28">F14*11%</f>
        <v>610.324</v>
      </c>
      <c r="T14" s="78">
        <f>14*22</f>
        <v>308</v>
      </c>
      <c r="U14" s="79">
        <f aca="true" t="shared" si="11" ref="U14:U28">(2.45*2)*22</f>
        <v>107.80000000000001</v>
      </c>
      <c r="V14" s="78">
        <v>20.75</v>
      </c>
      <c r="W14" s="78">
        <v>50</v>
      </c>
      <c r="X14" s="79">
        <f>(D14+G14+H14+I14+J14+K14+L14+M14+N14+Q14+O14+T14+U14+V14+P14+E14+W14)</f>
        <v>8487.034555555554</v>
      </c>
      <c r="Y14" s="79">
        <f aca="true" t="shared" si="12" ref="Y14:Y28">X14*11</f>
        <v>93357.3801111111</v>
      </c>
      <c r="Z14" s="2"/>
    </row>
    <row r="15" spans="1:26" ht="12.75">
      <c r="A15" s="76" t="s">
        <v>51</v>
      </c>
      <c r="B15" s="171" t="s">
        <v>429</v>
      </c>
      <c r="C15" s="77">
        <v>1</v>
      </c>
      <c r="D15" s="176">
        <f>'MEDIA SAL PREFEIT'!G12</f>
        <v>4336.58</v>
      </c>
      <c r="E15" s="79"/>
      <c r="F15" s="80">
        <f t="shared" si="0"/>
        <v>4336.58</v>
      </c>
      <c r="G15" s="78">
        <f t="shared" si="1"/>
        <v>361.38166666666666</v>
      </c>
      <c r="H15" s="78">
        <f t="shared" si="2"/>
        <v>481.84222222222223</v>
      </c>
      <c r="I15" s="78">
        <f t="shared" si="3"/>
        <v>346.9264</v>
      </c>
      <c r="J15" s="78">
        <f t="shared" si="4"/>
        <v>38.54737777777778</v>
      </c>
      <c r="K15" s="78">
        <f t="shared" si="5"/>
        <v>28.910533333333333</v>
      </c>
      <c r="L15" s="78">
        <f t="shared" si="6"/>
        <v>43.3658</v>
      </c>
      <c r="M15" s="78"/>
      <c r="N15" s="78">
        <f t="shared" si="7"/>
        <v>3.6138166666666667</v>
      </c>
      <c r="O15" s="78">
        <f aca="true" t="shared" si="13" ref="O15:O28">SUM(F15/12)</f>
        <v>361.38166666666666</v>
      </c>
      <c r="P15" s="78">
        <f t="shared" si="8"/>
        <v>28.910533333333333</v>
      </c>
      <c r="Q15" s="78">
        <f t="shared" si="9"/>
        <v>221.64742222222222</v>
      </c>
      <c r="R15" s="78">
        <f>((F15-S15)*7.5%)-134.08</f>
        <v>155.38671499999995</v>
      </c>
      <c r="S15" s="78">
        <f t="shared" si="10"/>
        <v>477.0238</v>
      </c>
      <c r="T15" s="78">
        <f aca="true" t="shared" si="14" ref="T15:T20">14*22</f>
        <v>308</v>
      </c>
      <c r="U15" s="79">
        <f t="shared" si="11"/>
        <v>107.80000000000001</v>
      </c>
      <c r="V15" s="78">
        <v>20.75</v>
      </c>
      <c r="W15" s="78">
        <v>50</v>
      </c>
      <c r="X15" s="79">
        <f aca="true" t="shared" si="15" ref="X15:X28">(D15+G15+H15+I15+J15+K15+L15+M15+N15+Q15+O15+T15+U15+V15+P15+E15+W15)</f>
        <v>6739.65743888889</v>
      </c>
      <c r="Y15" s="79">
        <f t="shared" si="12"/>
        <v>74136.2318277778</v>
      </c>
      <c r="Z15" s="2"/>
    </row>
    <row r="16" spans="1:26" ht="12.75">
      <c r="A16" s="76" t="s">
        <v>52</v>
      </c>
      <c r="B16" s="172" t="s">
        <v>430</v>
      </c>
      <c r="C16" s="77">
        <v>1</v>
      </c>
      <c r="D16" s="176">
        <f>'MEDIA SAL PREFEIT'!G13</f>
        <v>4336.58</v>
      </c>
      <c r="E16" s="79"/>
      <c r="F16" s="80">
        <f t="shared" si="0"/>
        <v>4336.58</v>
      </c>
      <c r="G16" s="78">
        <f t="shared" si="1"/>
        <v>361.38166666666666</v>
      </c>
      <c r="H16" s="78">
        <f t="shared" si="2"/>
        <v>481.84222222222223</v>
      </c>
      <c r="I16" s="78">
        <f t="shared" si="3"/>
        <v>346.9264</v>
      </c>
      <c r="J16" s="78">
        <f t="shared" si="4"/>
        <v>38.54737777777778</v>
      </c>
      <c r="K16" s="78">
        <f t="shared" si="5"/>
        <v>28.910533333333333</v>
      </c>
      <c r="L16" s="78">
        <f t="shared" si="6"/>
        <v>43.3658</v>
      </c>
      <c r="M16" s="78"/>
      <c r="N16" s="78">
        <f t="shared" si="7"/>
        <v>3.6138166666666667</v>
      </c>
      <c r="O16" s="78">
        <f t="shared" si="13"/>
        <v>361.38166666666666</v>
      </c>
      <c r="P16" s="78">
        <f t="shared" si="8"/>
        <v>28.910533333333333</v>
      </c>
      <c r="Q16" s="78">
        <f t="shared" si="9"/>
        <v>221.64742222222222</v>
      </c>
      <c r="R16" s="78">
        <f>((F16-S16)*7.5%)-134.08</f>
        <v>155.38671499999995</v>
      </c>
      <c r="S16" s="78">
        <f t="shared" si="10"/>
        <v>477.0238</v>
      </c>
      <c r="T16" s="78">
        <f t="shared" si="14"/>
        <v>308</v>
      </c>
      <c r="U16" s="79">
        <f t="shared" si="11"/>
        <v>107.80000000000001</v>
      </c>
      <c r="V16" s="78">
        <v>20.75</v>
      </c>
      <c r="W16" s="78">
        <v>50</v>
      </c>
      <c r="X16" s="79">
        <f t="shared" si="15"/>
        <v>6739.65743888889</v>
      </c>
      <c r="Y16" s="79">
        <f t="shared" si="12"/>
        <v>74136.2318277778</v>
      </c>
      <c r="Z16" s="2"/>
    </row>
    <row r="17" spans="1:26" ht="12.75">
      <c r="A17" s="76" t="s">
        <v>53</v>
      </c>
      <c r="B17" s="172" t="s">
        <v>432</v>
      </c>
      <c r="C17" s="77">
        <v>1</v>
      </c>
      <c r="D17" s="176">
        <f>'MEDIA SAL PREFEIT'!G14</f>
        <v>3278.38</v>
      </c>
      <c r="E17" s="79"/>
      <c r="F17" s="80">
        <f t="shared" si="0"/>
        <v>3278.38</v>
      </c>
      <c r="G17" s="78">
        <f t="shared" si="1"/>
        <v>273.1983333333333</v>
      </c>
      <c r="H17" s="78">
        <f t="shared" si="2"/>
        <v>364.26444444444445</v>
      </c>
      <c r="I17" s="78">
        <f t="shared" si="3"/>
        <v>262.2704</v>
      </c>
      <c r="J17" s="78">
        <f t="shared" si="4"/>
        <v>29.141155555555557</v>
      </c>
      <c r="K17" s="78">
        <f t="shared" si="5"/>
        <v>21.855866666666667</v>
      </c>
      <c r="L17" s="78">
        <f t="shared" si="6"/>
        <v>32.7838</v>
      </c>
      <c r="M17" s="78"/>
      <c r="N17" s="78">
        <f t="shared" si="7"/>
        <v>2.7319833333333334</v>
      </c>
      <c r="O17" s="78">
        <f t="shared" si="13"/>
        <v>273.1983333333333</v>
      </c>
      <c r="P17" s="78">
        <f t="shared" si="8"/>
        <v>21.855866666666667</v>
      </c>
      <c r="Q17" s="78">
        <f t="shared" si="9"/>
        <v>167.56164444444443</v>
      </c>
      <c r="R17" s="78">
        <v>0</v>
      </c>
      <c r="S17" s="78">
        <f t="shared" si="10"/>
        <v>360.6218</v>
      </c>
      <c r="T17" s="78">
        <f t="shared" si="14"/>
        <v>308</v>
      </c>
      <c r="U17" s="79">
        <f t="shared" si="11"/>
        <v>107.80000000000001</v>
      </c>
      <c r="V17" s="78">
        <v>20.75</v>
      </c>
      <c r="W17" s="78">
        <v>50</v>
      </c>
      <c r="X17" s="79">
        <f t="shared" si="15"/>
        <v>5213.791827777779</v>
      </c>
      <c r="Y17" s="79">
        <f t="shared" si="12"/>
        <v>57351.71010555557</v>
      </c>
      <c r="Z17" s="2"/>
    </row>
    <row r="18" spans="1:26" ht="12.75">
      <c r="A18" s="76" t="s">
        <v>54</v>
      </c>
      <c r="B18" s="172" t="s">
        <v>433</v>
      </c>
      <c r="C18" s="77">
        <v>1</v>
      </c>
      <c r="D18" s="176">
        <f>'MEDIA SAL PREFEIT'!G15</f>
        <v>2235.259090909091</v>
      </c>
      <c r="E18" s="79"/>
      <c r="F18" s="80">
        <f t="shared" si="0"/>
        <v>2235.259090909091</v>
      </c>
      <c r="G18" s="78">
        <f t="shared" si="1"/>
        <v>186.27159090909092</v>
      </c>
      <c r="H18" s="78">
        <f t="shared" si="2"/>
        <v>248.36212121212122</v>
      </c>
      <c r="I18" s="78">
        <f t="shared" si="3"/>
        <v>178.82072727272728</v>
      </c>
      <c r="J18" s="78">
        <f t="shared" si="4"/>
        <v>19.8689696969697</v>
      </c>
      <c r="K18" s="78">
        <f t="shared" si="5"/>
        <v>14.901727272727273</v>
      </c>
      <c r="L18" s="78">
        <f t="shared" si="6"/>
        <v>22.35259090909091</v>
      </c>
      <c r="M18" s="78"/>
      <c r="N18" s="78">
        <f t="shared" si="7"/>
        <v>1.8627159090909091</v>
      </c>
      <c r="O18" s="78">
        <f t="shared" si="13"/>
        <v>186.27159090909092</v>
      </c>
      <c r="P18" s="78">
        <f t="shared" si="8"/>
        <v>14.901727272727273</v>
      </c>
      <c r="Q18" s="78">
        <f t="shared" si="9"/>
        <v>114.24657575757576</v>
      </c>
      <c r="R18" s="78">
        <v>0</v>
      </c>
      <c r="S18" s="78">
        <f t="shared" si="10"/>
        <v>245.8785</v>
      </c>
      <c r="T18" s="78">
        <f t="shared" si="14"/>
        <v>308</v>
      </c>
      <c r="U18" s="79">
        <f t="shared" si="11"/>
        <v>107.80000000000001</v>
      </c>
      <c r="V18" s="78">
        <v>20.75</v>
      </c>
      <c r="W18" s="78">
        <v>50</v>
      </c>
      <c r="X18" s="79">
        <f t="shared" si="15"/>
        <v>3709.6694280303027</v>
      </c>
      <c r="Y18" s="79">
        <f t="shared" si="12"/>
        <v>40806.36370833333</v>
      </c>
      <c r="Z18" s="2"/>
    </row>
    <row r="19" spans="1:26" ht="12.75">
      <c r="A19" s="76" t="s">
        <v>55</v>
      </c>
      <c r="B19" s="172" t="s">
        <v>434</v>
      </c>
      <c r="C19" s="77">
        <v>1</v>
      </c>
      <c r="D19" s="176">
        <f>'MEDIA SAL PREFEIT'!G16</f>
        <v>3278.38</v>
      </c>
      <c r="E19" s="79"/>
      <c r="F19" s="80">
        <f t="shared" si="0"/>
        <v>3278.38</v>
      </c>
      <c r="G19" s="78">
        <f t="shared" si="1"/>
        <v>273.1983333333333</v>
      </c>
      <c r="H19" s="78">
        <f t="shared" si="2"/>
        <v>364.26444444444445</v>
      </c>
      <c r="I19" s="78">
        <f t="shared" si="3"/>
        <v>262.2704</v>
      </c>
      <c r="J19" s="78">
        <f t="shared" si="4"/>
        <v>29.141155555555557</v>
      </c>
      <c r="K19" s="78">
        <f t="shared" si="5"/>
        <v>21.855866666666667</v>
      </c>
      <c r="L19" s="78">
        <f t="shared" si="6"/>
        <v>32.7838</v>
      </c>
      <c r="M19" s="78"/>
      <c r="N19" s="78">
        <f t="shared" si="7"/>
        <v>2.7319833333333334</v>
      </c>
      <c r="O19" s="78">
        <f t="shared" si="13"/>
        <v>273.1983333333333</v>
      </c>
      <c r="P19" s="78">
        <f t="shared" si="8"/>
        <v>21.855866666666667</v>
      </c>
      <c r="Q19" s="78">
        <f t="shared" si="9"/>
        <v>167.56164444444443</v>
      </c>
      <c r="R19" s="78">
        <v>0</v>
      </c>
      <c r="S19" s="78">
        <f t="shared" si="10"/>
        <v>360.6218</v>
      </c>
      <c r="T19" s="78">
        <f t="shared" si="14"/>
        <v>308</v>
      </c>
      <c r="U19" s="79">
        <f t="shared" si="11"/>
        <v>107.80000000000001</v>
      </c>
      <c r="V19" s="78">
        <v>20.75</v>
      </c>
      <c r="W19" s="78">
        <v>50</v>
      </c>
      <c r="X19" s="79">
        <f t="shared" si="15"/>
        <v>5213.791827777779</v>
      </c>
      <c r="Y19" s="79">
        <f t="shared" si="12"/>
        <v>57351.71010555557</v>
      </c>
      <c r="Z19" s="2"/>
    </row>
    <row r="20" spans="1:26" ht="12.75">
      <c r="A20" s="76" t="s">
        <v>56</v>
      </c>
      <c r="B20" s="172" t="s">
        <v>448</v>
      </c>
      <c r="C20" s="77">
        <v>1</v>
      </c>
      <c r="D20" s="176">
        <f>'MEDIA SAL PREFEIT'!G17</f>
        <v>3278.38</v>
      </c>
      <c r="E20" s="79"/>
      <c r="F20" s="80">
        <f t="shared" si="0"/>
        <v>3278.38</v>
      </c>
      <c r="G20" s="78">
        <f t="shared" si="1"/>
        <v>273.1983333333333</v>
      </c>
      <c r="H20" s="78">
        <f t="shared" si="2"/>
        <v>364.26444444444445</v>
      </c>
      <c r="I20" s="78">
        <f t="shared" si="3"/>
        <v>262.2704</v>
      </c>
      <c r="J20" s="78">
        <f t="shared" si="4"/>
        <v>29.141155555555557</v>
      </c>
      <c r="K20" s="78">
        <f t="shared" si="5"/>
        <v>21.855866666666667</v>
      </c>
      <c r="L20" s="78">
        <f t="shared" si="6"/>
        <v>32.7838</v>
      </c>
      <c r="M20" s="78"/>
      <c r="N20" s="78">
        <f t="shared" si="7"/>
        <v>2.7319833333333334</v>
      </c>
      <c r="O20" s="78">
        <f t="shared" si="13"/>
        <v>273.1983333333333</v>
      </c>
      <c r="P20" s="78">
        <f t="shared" si="8"/>
        <v>21.855866666666667</v>
      </c>
      <c r="Q20" s="78">
        <f t="shared" si="9"/>
        <v>167.56164444444443</v>
      </c>
      <c r="R20" s="78">
        <v>0</v>
      </c>
      <c r="S20" s="78">
        <f t="shared" si="10"/>
        <v>360.6218</v>
      </c>
      <c r="T20" s="78">
        <f t="shared" si="14"/>
        <v>308</v>
      </c>
      <c r="U20" s="79">
        <f t="shared" si="11"/>
        <v>107.80000000000001</v>
      </c>
      <c r="V20" s="78">
        <v>20.75</v>
      </c>
      <c r="W20" s="78">
        <v>50</v>
      </c>
      <c r="X20" s="79">
        <f t="shared" si="15"/>
        <v>5213.791827777779</v>
      </c>
      <c r="Y20" s="79">
        <f t="shared" si="12"/>
        <v>57351.71010555557</v>
      </c>
      <c r="Z20" s="2"/>
    </row>
    <row r="21" spans="1:26" ht="12.75">
      <c r="A21" s="76" t="s">
        <v>57</v>
      </c>
      <c r="B21" s="172" t="s">
        <v>441</v>
      </c>
      <c r="C21" s="81">
        <v>3</v>
      </c>
      <c r="D21" s="176">
        <f>'MEDIA SAL PREFEIT'!G18</f>
        <v>670.08</v>
      </c>
      <c r="E21" s="79"/>
      <c r="F21" s="80">
        <f t="shared" si="0"/>
        <v>2010.2400000000002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8"/>
      <c r="S21" s="78"/>
      <c r="T21" s="78"/>
      <c r="U21" s="79"/>
      <c r="V21" s="78"/>
      <c r="W21" s="78"/>
      <c r="X21" s="79">
        <f t="shared" si="15"/>
        <v>670.08</v>
      </c>
      <c r="Y21" s="79">
        <f t="shared" si="12"/>
        <v>7370.88</v>
      </c>
      <c r="Z21" s="3"/>
    </row>
    <row r="22" spans="1:26" ht="12.75">
      <c r="A22" s="76" t="s">
        <v>58</v>
      </c>
      <c r="B22" s="172" t="s">
        <v>435</v>
      </c>
      <c r="C22" s="81">
        <v>3</v>
      </c>
      <c r="D22" s="176">
        <f>'MEDIA SAL PREFEIT'!G19</f>
        <v>3389.35</v>
      </c>
      <c r="E22" s="79"/>
      <c r="F22" s="80">
        <f t="shared" si="0"/>
        <v>10168.05</v>
      </c>
      <c r="G22" s="79">
        <f t="shared" si="1"/>
        <v>847.3375</v>
      </c>
      <c r="H22" s="79">
        <f t="shared" si="2"/>
        <v>1129.7833333333333</v>
      </c>
      <c r="I22" s="79">
        <f t="shared" si="3"/>
        <v>813.444</v>
      </c>
      <c r="J22" s="79">
        <f t="shared" si="4"/>
        <v>90.38266666666667</v>
      </c>
      <c r="K22" s="79">
        <f t="shared" si="5"/>
        <v>67.787</v>
      </c>
      <c r="L22" s="79">
        <f t="shared" si="6"/>
        <v>101.6805</v>
      </c>
      <c r="M22" s="79"/>
      <c r="N22" s="79">
        <f t="shared" si="7"/>
        <v>8.473375</v>
      </c>
      <c r="O22" s="79">
        <f t="shared" si="13"/>
        <v>847.3375</v>
      </c>
      <c r="P22" s="79">
        <f t="shared" si="8"/>
        <v>67.787</v>
      </c>
      <c r="Q22" s="79">
        <f t="shared" si="9"/>
        <v>519.7003333333333</v>
      </c>
      <c r="R22" s="78">
        <f aca="true" t="shared" si="16" ref="R22:R28">((F22-S22)*7.5%)-134.08</f>
        <v>544.6373374999998</v>
      </c>
      <c r="S22" s="78">
        <f t="shared" si="10"/>
        <v>1118.4855</v>
      </c>
      <c r="T22" s="78">
        <f>14*22</f>
        <v>308</v>
      </c>
      <c r="U22" s="79">
        <f t="shared" si="11"/>
        <v>107.80000000000001</v>
      </c>
      <c r="V22" s="78">
        <v>20.75</v>
      </c>
      <c r="W22" s="78">
        <v>50</v>
      </c>
      <c r="X22" s="79">
        <f t="shared" si="15"/>
        <v>8369.613208333332</v>
      </c>
      <c r="Y22" s="79">
        <f t="shared" si="12"/>
        <v>92065.74529166665</v>
      </c>
      <c r="Z22" s="3"/>
    </row>
    <row r="23" spans="1:26" ht="12.75">
      <c r="A23" s="76" t="s">
        <v>59</v>
      </c>
      <c r="B23" s="173" t="s">
        <v>442</v>
      </c>
      <c r="C23" s="81">
        <v>36</v>
      </c>
      <c r="D23" s="176">
        <f>'MEDIA SAL PREFEIT'!G20</f>
        <v>2185.725</v>
      </c>
      <c r="E23" s="79"/>
      <c r="F23" s="80">
        <f t="shared" si="0"/>
        <v>78686.09999999999</v>
      </c>
      <c r="G23" s="79">
        <f t="shared" si="1"/>
        <v>6557.174999999999</v>
      </c>
      <c r="H23" s="79">
        <f t="shared" si="2"/>
        <v>8742.9</v>
      </c>
      <c r="I23" s="79">
        <f t="shared" si="3"/>
        <v>6294.887999999999</v>
      </c>
      <c r="J23" s="79">
        <f t="shared" si="4"/>
        <v>699.432</v>
      </c>
      <c r="K23" s="79">
        <f t="shared" si="5"/>
        <v>524.574</v>
      </c>
      <c r="L23" s="79">
        <f t="shared" si="6"/>
        <v>786.8609999999999</v>
      </c>
      <c r="M23" s="79"/>
      <c r="N23" s="79">
        <f t="shared" si="7"/>
        <v>65.57175</v>
      </c>
      <c r="O23" s="79">
        <f t="shared" si="13"/>
        <v>6557.174999999999</v>
      </c>
      <c r="P23" s="79">
        <f t="shared" si="8"/>
        <v>524.574</v>
      </c>
      <c r="Q23" s="79">
        <f t="shared" si="9"/>
        <v>4021.733999999999</v>
      </c>
      <c r="R23" s="78">
        <f t="shared" si="16"/>
        <v>5118.217174999999</v>
      </c>
      <c r="S23" s="78">
        <f t="shared" si="10"/>
        <v>8655.471</v>
      </c>
      <c r="T23" s="78">
        <f aca="true" t="shared" si="17" ref="T23:T28">T22</f>
        <v>308</v>
      </c>
      <c r="U23" s="79">
        <f t="shared" si="11"/>
        <v>107.80000000000001</v>
      </c>
      <c r="V23" s="78">
        <v>20.75</v>
      </c>
      <c r="W23" s="78">
        <v>50</v>
      </c>
      <c r="X23" s="79">
        <f t="shared" si="15"/>
        <v>37447.15975</v>
      </c>
      <c r="Y23" s="79">
        <f t="shared" si="12"/>
        <v>411918.75724999997</v>
      </c>
      <c r="Z23" s="3"/>
    </row>
    <row r="24" spans="1:26" ht="12.75">
      <c r="A24" s="76" t="s">
        <v>60</v>
      </c>
      <c r="B24" s="173" t="s">
        <v>443</v>
      </c>
      <c r="C24" s="81">
        <v>24</v>
      </c>
      <c r="D24" s="176">
        <f>'MEDIA SAL PREFEIT'!G20</f>
        <v>2185.725</v>
      </c>
      <c r="E24" s="79">
        <f>D24*25%</f>
        <v>546.43125</v>
      </c>
      <c r="F24" s="80">
        <f>(D24+E24)*C24</f>
        <v>65571.75</v>
      </c>
      <c r="G24" s="79">
        <f t="shared" si="1"/>
        <v>5464.3125</v>
      </c>
      <c r="H24" s="79">
        <f t="shared" si="2"/>
        <v>7285.75</v>
      </c>
      <c r="I24" s="79">
        <f t="shared" si="3"/>
        <v>5245.74</v>
      </c>
      <c r="J24" s="79">
        <f t="shared" si="4"/>
        <v>582.86</v>
      </c>
      <c r="K24" s="79">
        <f t="shared" si="5"/>
        <v>437.145</v>
      </c>
      <c r="L24" s="79">
        <f t="shared" si="6"/>
        <v>655.7175</v>
      </c>
      <c r="M24" s="79"/>
      <c r="N24" s="79">
        <f t="shared" si="7"/>
        <v>54.643125</v>
      </c>
      <c r="O24" s="79">
        <f t="shared" si="13"/>
        <v>5464.3125</v>
      </c>
      <c r="P24" s="79">
        <f t="shared" si="8"/>
        <v>437.145</v>
      </c>
      <c r="Q24" s="79">
        <f t="shared" si="9"/>
        <v>3351.4449999999997</v>
      </c>
      <c r="R24" s="78">
        <f t="shared" si="16"/>
        <v>4242.8343125</v>
      </c>
      <c r="S24" s="78">
        <f t="shared" si="10"/>
        <v>7212.8925</v>
      </c>
      <c r="T24" s="78">
        <f t="shared" si="17"/>
        <v>308</v>
      </c>
      <c r="U24" s="79"/>
      <c r="V24" s="78"/>
      <c r="W24" s="78"/>
      <c r="X24" s="79"/>
      <c r="Y24" s="79"/>
      <c r="Z24" s="3"/>
    </row>
    <row r="25" spans="1:26" ht="12.75">
      <c r="A25" s="76" t="s">
        <v>61</v>
      </c>
      <c r="B25" s="173" t="s">
        <v>436</v>
      </c>
      <c r="C25" s="81">
        <v>6</v>
      </c>
      <c r="D25" s="176">
        <f>'MEDIA SAL PREFEIT'!G21</f>
        <v>1143.955</v>
      </c>
      <c r="E25" s="79"/>
      <c r="F25" s="80">
        <f>D25*C25</f>
        <v>6863.73</v>
      </c>
      <c r="G25" s="79">
        <f t="shared" si="1"/>
        <v>571.9775</v>
      </c>
      <c r="H25" s="79">
        <f t="shared" si="2"/>
        <v>762.6366666666667</v>
      </c>
      <c r="I25" s="79">
        <f t="shared" si="3"/>
        <v>549.0984</v>
      </c>
      <c r="J25" s="79">
        <f t="shared" si="4"/>
        <v>61.010933333333334</v>
      </c>
      <c r="K25" s="79">
        <f t="shared" si="5"/>
        <v>45.758199999999995</v>
      </c>
      <c r="L25" s="79">
        <f t="shared" si="6"/>
        <v>68.6373</v>
      </c>
      <c r="M25" s="79"/>
      <c r="N25" s="79">
        <f t="shared" si="7"/>
        <v>5.719774999999999</v>
      </c>
      <c r="O25" s="79">
        <f t="shared" si="13"/>
        <v>571.9775</v>
      </c>
      <c r="P25" s="79">
        <f t="shared" si="8"/>
        <v>45.758199999999995</v>
      </c>
      <c r="Q25" s="79">
        <f t="shared" si="9"/>
        <v>350.81286666666665</v>
      </c>
      <c r="R25" s="78">
        <f t="shared" si="16"/>
        <v>324.07397749999996</v>
      </c>
      <c r="S25" s="78">
        <f t="shared" si="10"/>
        <v>755.0102999999999</v>
      </c>
      <c r="T25" s="78">
        <f t="shared" si="17"/>
        <v>308</v>
      </c>
      <c r="U25" s="79">
        <f t="shared" si="11"/>
        <v>107.80000000000001</v>
      </c>
      <c r="V25" s="78">
        <v>20.75</v>
      </c>
      <c r="W25" s="78">
        <v>50</v>
      </c>
      <c r="X25" s="79">
        <f t="shared" si="15"/>
        <v>4663.892341666667</v>
      </c>
      <c r="Y25" s="79">
        <f t="shared" si="12"/>
        <v>51302.81575833333</v>
      </c>
      <c r="Z25" s="3"/>
    </row>
    <row r="26" spans="1:26" ht="12.75">
      <c r="A26" s="76" t="s">
        <v>62</v>
      </c>
      <c r="B26" s="173" t="s">
        <v>438</v>
      </c>
      <c r="C26" s="81">
        <v>1</v>
      </c>
      <c r="D26" s="176">
        <f>'MEDIA SAL PREFEIT'!G22</f>
        <v>1584.9099999999999</v>
      </c>
      <c r="E26" s="79"/>
      <c r="F26" s="80">
        <f>D26*C26</f>
        <v>1584.9099999999999</v>
      </c>
      <c r="G26" s="79">
        <f t="shared" si="1"/>
        <v>132.07583333333332</v>
      </c>
      <c r="H26" s="79">
        <f t="shared" si="2"/>
        <v>176.1011111111111</v>
      </c>
      <c r="I26" s="79">
        <f t="shared" si="3"/>
        <v>126.79279999999999</v>
      </c>
      <c r="J26" s="79">
        <f t="shared" si="4"/>
        <v>14.088088888888889</v>
      </c>
      <c r="K26" s="79">
        <f t="shared" si="5"/>
        <v>10.566066666666666</v>
      </c>
      <c r="L26" s="79">
        <f t="shared" si="6"/>
        <v>15.849099999999998</v>
      </c>
      <c r="M26" s="79"/>
      <c r="N26" s="79">
        <f t="shared" si="7"/>
        <v>1.3207583333333333</v>
      </c>
      <c r="O26" s="79">
        <f t="shared" si="13"/>
        <v>132.07583333333332</v>
      </c>
      <c r="P26" s="79">
        <f t="shared" si="8"/>
        <v>10.566066666666666</v>
      </c>
      <c r="Q26" s="79">
        <f t="shared" si="9"/>
        <v>81.00651111111111</v>
      </c>
      <c r="R26" s="78">
        <v>0</v>
      </c>
      <c r="S26" s="78">
        <f t="shared" si="10"/>
        <v>174.34009999999998</v>
      </c>
      <c r="T26" s="78">
        <f t="shared" si="17"/>
        <v>308</v>
      </c>
      <c r="U26" s="79">
        <f t="shared" si="11"/>
        <v>107.80000000000001</v>
      </c>
      <c r="V26" s="78">
        <v>20.75</v>
      </c>
      <c r="W26" s="78">
        <v>50</v>
      </c>
      <c r="X26" s="79">
        <f t="shared" si="15"/>
        <v>2771.9021694444446</v>
      </c>
      <c r="Y26" s="79">
        <f t="shared" si="12"/>
        <v>30490.92386388889</v>
      </c>
      <c r="Z26" s="3"/>
    </row>
    <row r="27" spans="1:26" ht="12.75">
      <c r="A27" s="76" t="s">
        <v>63</v>
      </c>
      <c r="B27" s="173" t="s">
        <v>437</v>
      </c>
      <c r="C27" s="81">
        <v>3</v>
      </c>
      <c r="D27" s="176">
        <f>'MEDIA SAL PREFEIT'!G23</f>
        <v>1343.6950000000002</v>
      </c>
      <c r="E27" s="79"/>
      <c r="F27" s="80">
        <f>D27*C27</f>
        <v>4031.0850000000005</v>
      </c>
      <c r="G27" s="79">
        <f t="shared" si="1"/>
        <v>335.92375000000004</v>
      </c>
      <c r="H27" s="79">
        <f t="shared" si="2"/>
        <v>447.89833333333337</v>
      </c>
      <c r="I27" s="79">
        <f t="shared" si="3"/>
        <v>322.4868000000001</v>
      </c>
      <c r="J27" s="79">
        <f t="shared" si="4"/>
        <v>35.83186666666667</v>
      </c>
      <c r="K27" s="79">
        <f t="shared" si="5"/>
        <v>26.873900000000003</v>
      </c>
      <c r="L27" s="79">
        <f t="shared" si="6"/>
        <v>40.31085000000001</v>
      </c>
      <c r="M27" s="79"/>
      <c r="N27" s="79">
        <f t="shared" si="7"/>
        <v>3.3592375000000003</v>
      </c>
      <c r="O27" s="79">
        <f t="shared" si="13"/>
        <v>335.92375000000004</v>
      </c>
      <c r="P27" s="79">
        <f t="shared" si="8"/>
        <v>26.873900000000003</v>
      </c>
      <c r="Q27" s="79">
        <f t="shared" si="9"/>
        <v>206.03323333333336</v>
      </c>
      <c r="R27" s="78">
        <f t="shared" si="16"/>
        <v>134.99492375000003</v>
      </c>
      <c r="S27" s="78">
        <f t="shared" si="10"/>
        <v>443.41935000000007</v>
      </c>
      <c r="T27" s="78">
        <f t="shared" si="17"/>
        <v>308</v>
      </c>
      <c r="U27" s="79">
        <f t="shared" si="11"/>
        <v>107.80000000000001</v>
      </c>
      <c r="V27" s="78">
        <v>20.75</v>
      </c>
      <c r="W27" s="78">
        <v>50</v>
      </c>
      <c r="X27" s="79">
        <f t="shared" si="15"/>
        <v>3611.760620833334</v>
      </c>
      <c r="Y27" s="79">
        <f t="shared" si="12"/>
        <v>39729.366829166676</v>
      </c>
      <c r="Z27" s="3"/>
    </row>
    <row r="28" spans="1:26" ht="12.75">
      <c r="A28" s="76" t="s">
        <v>64</v>
      </c>
      <c r="B28" s="173" t="s">
        <v>444</v>
      </c>
      <c r="C28" s="81">
        <v>3</v>
      </c>
      <c r="D28" s="176">
        <f>'MEDIA SAL PREFEIT'!G24</f>
        <v>932.08</v>
      </c>
      <c r="E28" s="79"/>
      <c r="F28" s="80">
        <f>D28*C28</f>
        <v>2796.2400000000002</v>
      </c>
      <c r="G28" s="79">
        <f t="shared" si="1"/>
        <v>233.02</v>
      </c>
      <c r="H28" s="79">
        <f t="shared" si="2"/>
        <v>310.6933333333333</v>
      </c>
      <c r="I28" s="79">
        <f t="shared" si="3"/>
        <v>223.69920000000002</v>
      </c>
      <c r="J28" s="79">
        <f t="shared" si="4"/>
        <v>24.85546666666667</v>
      </c>
      <c r="K28" s="79">
        <f t="shared" si="5"/>
        <v>18.6416</v>
      </c>
      <c r="L28" s="79">
        <f t="shared" si="6"/>
        <v>27.962400000000002</v>
      </c>
      <c r="M28" s="79"/>
      <c r="N28" s="79">
        <f t="shared" si="7"/>
        <v>2.3302</v>
      </c>
      <c r="O28" s="79">
        <f t="shared" si="13"/>
        <v>233.02</v>
      </c>
      <c r="P28" s="79">
        <f t="shared" si="8"/>
        <v>18.6416</v>
      </c>
      <c r="Q28" s="79">
        <f t="shared" si="9"/>
        <v>142.91893333333334</v>
      </c>
      <c r="R28" s="78">
        <f t="shared" si="16"/>
        <v>52.569019999999995</v>
      </c>
      <c r="S28" s="78">
        <f t="shared" si="10"/>
        <v>307.5864</v>
      </c>
      <c r="T28" s="78">
        <f t="shared" si="17"/>
        <v>308</v>
      </c>
      <c r="U28" s="79">
        <f t="shared" si="11"/>
        <v>107.80000000000001</v>
      </c>
      <c r="V28" s="78">
        <v>20.75</v>
      </c>
      <c r="W28" s="78">
        <v>50</v>
      </c>
      <c r="X28" s="79">
        <f t="shared" si="15"/>
        <v>2654.412733333334</v>
      </c>
      <c r="Y28" s="79">
        <f t="shared" si="12"/>
        <v>29198.540066666676</v>
      </c>
      <c r="Z28" s="3"/>
    </row>
    <row r="29" spans="1:26" ht="12.75">
      <c r="A29" s="82"/>
      <c r="B29" s="83" t="s">
        <v>65</v>
      </c>
      <c r="C29" s="83">
        <f aca="true" t="shared" si="18" ref="C29:Y29">SUM(C14:C28)</f>
        <v>86</v>
      </c>
      <c r="D29" s="84">
        <f t="shared" si="18"/>
        <v>39727.47909090909</v>
      </c>
      <c r="E29" s="84">
        <f t="shared" si="18"/>
        <v>546.43125</v>
      </c>
      <c r="F29" s="84">
        <f t="shared" si="18"/>
        <v>198004.0640909091</v>
      </c>
      <c r="G29" s="84">
        <f t="shared" si="18"/>
        <v>16332.818674242424</v>
      </c>
      <c r="H29" s="84">
        <f t="shared" si="18"/>
        <v>21777.091565656567</v>
      </c>
      <c r="I29" s="84">
        <f t="shared" si="18"/>
        <v>15679.505927272727</v>
      </c>
      <c r="J29" s="84">
        <f t="shared" si="18"/>
        <v>1742.1673252525252</v>
      </c>
      <c r="K29" s="84">
        <f t="shared" si="18"/>
        <v>1306.625493939394</v>
      </c>
      <c r="L29" s="84">
        <f t="shared" si="18"/>
        <v>1959.9382409090908</v>
      </c>
      <c r="M29" s="84">
        <f t="shared" si="18"/>
        <v>0</v>
      </c>
      <c r="N29" s="84">
        <f t="shared" si="18"/>
        <v>163.32818674242424</v>
      </c>
      <c r="O29" s="84">
        <f t="shared" si="18"/>
        <v>16332.818674242424</v>
      </c>
      <c r="P29" s="84">
        <f t="shared" si="18"/>
        <v>1306.625493939394</v>
      </c>
      <c r="Q29" s="84">
        <f t="shared" si="18"/>
        <v>10017.462120202019</v>
      </c>
      <c r="R29" s="150">
        <f t="shared" si="18"/>
        <v>11236.207276250001</v>
      </c>
      <c r="S29" s="150">
        <f t="shared" si="18"/>
        <v>21559.320650000005</v>
      </c>
      <c r="T29" s="151">
        <f t="shared" si="18"/>
        <v>4312</v>
      </c>
      <c r="U29" s="151">
        <f t="shared" si="18"/>
        <v>1401.3999999999996</v>
      </c>
      <c r="V29" s="151">
        <f t="shared" si="18"/>
        <v>269.75</v>
      </c>
      <c r="W29" s="151">
        <f t="shared" si="18"/>
        <v>650</v>
      </c>
      <c r="X29" s="151">
        <f t="shared" si="18"/>
        <v>101506.21516830807</v>
      </c>
      <c r="Y29" s="151">
        <f t="shared" si="18"/>
        <v>1116568.3668513892</v>
      </c>
      <c r="Z29" s="2"/>
    </row>
    <row r="30" spans="1:26" ht="15" customHeight="1">
      <c r="A30" s="414" t="s">
        <v>66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6"/>
      <c r="X30" s="79">
        <v>100</v>
      </c>
      <c r="Y30" s="79">
        <v>0</v>
      </c>
      <c r="Z30" s="2"/>
    </row>
    <row r="31" spans="1:26" ht="15" customHeight="1">
      <c r="A31" s="414" t="s">
        <v>450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6"/>
      <c r="X31" s="79">
        <v>731</v>
      </c>
      <c r="Y31" s="79">
        <v>8041</v>
      </c>
      <c r="Z31" s="2"/>
    </row>
    <row r="32" spans="1:26" ht="15" customHeight="1">
      <c r="A32" s="417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9"/>
      <c r="X32" s="79"/>
      <c r="Y32" s="79">
        <v>0</v>
      </c>
      <c r="Z32" s="2"/>
    </row>
    <row r="33" spans="1:25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  <c r="X33" s="87">
        <f>SUM(X29:X32)</f>
        <v>102337.21516830807</v>
      </c>
      <c r="Y33" s="88">
        <f>Y29+Y30+Y31+Y32</f>
        <v>1124609.3668513892</v>
      </c>
    </row>
    <row r="34" spans="1:25" ht="15" customHeight="1">
      <c r="A34" s="401" t="s">
        <v>67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3"/>
      <c r="X34" s="407">
        <f>Y33+X33</f>
        <v>1226946.5820196972</v>
      </c>
      <c r="Y34" s="408"/>
    </row>
    <row r="35" spans="1:26" ht="15" customHeight="1">
      <c r="A35" s="404"/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6"/>
      <c r="X35" s="409"/>
      <c r="Y35" s="410"/>
      <c r="Z35" s="2"/>
    </row>
    <row r="36" spans="1:26" ht="12.75">
      <c r="A36" s="42"/>
      <c r="B36" s="42"/>
      <c r="C36" s="42"/>
      <c r="D36" s="42"/>
      <c r="E36" s="42"/>
      <c r="F36" s="42"/>
      <c r="G36" s="42"/>
      <c r="H36" s="42"/>
      <c r="I36" s="4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63.75" customHeight="1">
      <c r="A40" s="411" t="s">
        <v>420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</sheetData>
  <sheetProtection/>
  <mergeCells count="19">
    <mergeCell ref="A9:Y9"/>
    <mergeCell ref="X10:Y10"/>
    <mergeCell ref="A12:A13"/>
    <mergeCell ref="B12:B13"/>
    <mergeCell ref="C12:C13"/>
    <mergeCell ref="D12:D13"/>
    <mergeCell ref="E12:E13"/>
    <mergeCell ref="F12:F13"/>
    <mergeCell ref="G12:N12"/>
    <mergeCell ref="T12:V12"/>
    <mergeCell ref="A34:W35"/>
    <mergeCell ref="X34:Y35"/>
    <mergeCell ref="A40:U40"/>
    <mergeCell ref="W12:W13"/>
    <mergeCell ref="X12:X13"/>
    <mergeCell ref="Y12:Y13"/>
    <mergeCell ref="A30:W30"/>
    <mergeCell ref="A31:W31"/>
    <mergeCell ref="A32:W32"/>
  </mergeCells>
  <printOptions/>
  <pageMargins left="0.4724409448818898" right="0" top="0.1968503937007874" bottom="0.5905511811023623" header="0.1968503937007874" footer="0.5118110236220472"/>
  <pageSetup horizontalDpi="600" verticalDpi="6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8:G23"/>
  <sheetViews>
    <sheetView zoomScale="130" zoomScaleNormal="130" zoomScalePageLayoutView="0" workbookViewId="0" topLeftCell="A1">
      <selection activeCell="K20" sqref="K20"/>
    </sheetView>
  </sheetViews>
  <sheetFormatPr defaultColWidth="9.140625" defaultRowHeight="15"/>
  <cols>
    <col min="1" max="1" width="29.00390625" style="0" customWidth="1"/>
    <col min="2" max="2" width="18.57421875" style="0" customWidth="1"/>
    <col min="3" max="3" width="11.140625" style="0" customWidth="1"/>
    <col min="4" max="4" width="17.140625" style="0" customWidth="1"/>
    <col min="5" max="5" width="17.7109375" style="0" customWidth="1"/>
    <col min="6" max="6" width="14.7109375" style="0" customWidth="1"/>
    <col min="7" max="7" width="11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8" spans="1:6" ht="15.75">
      <c r="A8" s="474" t="s">
        <v>412</v>
      </c>
      <c r="B8" s="474"/>
      <c r="C8" s="474"/>
      <c r="D8" s="474"/>
      <c r="E8" s="474"/>
      <c r="F8" s="90"/>
    </row>
    <row r="9" spans="1:6" ht="31.5">
      <c r="A9" s="96" t="s">
        <v>85</v>
      </c>
      <c r="B9" s="96" t="s">
        <v>86</v>
      </c>
      <c r="C9" s="96" t="s">
        <v>87</v>
      </c>
      <c r="D9" s="96" t="s">
        <v>88</v>
      </c>
      <c r="E9" s="96" t="s">
        <v>89</v>
      </c>
      <c r="F9" s="90"/>
    </row>
    <row r="10" spans="1:6" ht="15.75">
      <c r="A10" s="95" t="s">
        <v>90</v>
      </c>
      <c r="B10" s="95">
        <f>45*30</f>
        <v>1350</v>
      </c>
      <c r="C10" s="97"/>
      <c r="D10" s="97"/>
      <c r="E10" s="97"/>
      <c r="F10" s="90"/>
    </row>
    <row r="11" spans="1:6" ht="15.75">
      <c r="A11" s="95" t="s">
        <v>721</v>
      </c>
      <c r="B11" s="95">
        <f>45*30</f>
        <v>1350</v>
      </c>
      <c r="C11" s="97"/>
      <c r="D11" s="97"/>
      <c r="E11" s="97"/>
      <c r="F11" s="90"/>
    </row>
    <row r="12" spans="1:6" ht="15.75">
      <c r="A12" s="95" t="s">
        <v>91</v>
      </c>
      <c r="B12" s="95">
        <f>45*30</f>
        <v>1350</v>
      </c>
      <c r="C12" s="97"/>
      <c r="D12" s="97"/>
      <c r="E12" s="97"/>
      <c r="F12" s="90"/>
    </row>
    <row r="13" spans="1:6" ht="15.75">
      <c r="A13" s="95" t="s">
        <v>722</v>
      </c>
      <c r="B13" s="95">
        <f>45*30</f>
        <v>1350</v>
      </c>
      <c r="C13" s="97"/>
      <c r="D13" s="97"/>
      <c r="E13" s="97"/>
      <c r="F13" s="90"/>
    </row>
    <row r="14" spans="1:6" ht="15.75">
      <c r="A14" s="95" t="s">
        <v>92</v>
      </c>
      <c r="B14" s="95">
        <f>45*30</f>
        <v>1350</v>
      </c>
      <c r="C14" s="97"/>
      <c r="D14" s="97"/>
      <c r="E14" s="97"/>
      <c r="F14" s="90"/>
    </row>
    <row r="15" spans="1:6" ht="15.75">
      <c r="A15" s="475" t="s">
        <v>93</v>
      </c>
      <c r="B15" s="475"/>
      <c r="C15" s="475"/>
      <c r="D15" s="98"/>
      <c r="E15" s="98"/>
      <c r="F15" s="90"/>
    </row>
    <row r="16" spans="1:6" ht="15.75">
      <c r="A16" s="223"/>
      <c r="B16" s="223"/>
      <c r="C16" s="223"/>
      <c r="D16" s="224"/>
      <c r="E16" s="224"/>
      <c r="F16" s="90"/>
    </row>
    <row r="17" spans="1:6" ht="15.75">
      <c r="A17" s="95" t="s">
        <v>547</v>
      </c>
      <c r="B17" s="95">
        <v>60</v>
      </c>
      <c r="C17" s="97"/>
      <c r="D17" s="97"/>
      <c r="E17" s="97"/>
      <c r="F17" s="90"/>
    </row>
    <row r="18" spans="1:6" ht="15.75">
      <c r="A18" s="95" t="s">
        <v>548</v>
      </c>
      <c r="B18" s="95">
        <v>60</v>
      </c>
      <c r="C18" s="97"/>
      <c r="D18" s="97"/>
      <c r="E18" s="97"/>
      <c r="F18" s="90"/>
    </row>
    <row r="19" spans="1:6" ht="15.75">
      <c r="A19" s="95" t="s">
        <v>549</v>
      </c>
      <c r="B19" s="95">
        <v>90</v>
      </c>
      <c r="C19" s="97"/>
      <c r="D19" s="97"/>
      <c r="E19" s="97"/>
      <c r="F19" s="90"/>
    </row>
    <row r="20" spans="1:6" ht="15.75">
      <c r="A20" s="95" t="s">
        <v>550</v>
      </c>
      <c r="B20" s="95">
        <v>10</v>
      </c>
      <c r="C20" s="97"/>
      <c r="D20" s="97"/>
      <c r="E20" s="97"/>
      <c r="F20" s="90"/>
    </row>
    <row r="21" spans="1:6" ht="15.75">
      <c r="A21" s="95" t="s">
        <v>551</v>
      </c>
      <c r="B21" s="95">
        <v>10</v>
      </c>
      <c r="C21" s="97"/>
      <c r="D21" s="97"/>
      <c r="E21" s="97"/>
      <c r="F21" s="90"/>
    </row>
    <row r="22" spans="1:6" ht="15.75">
      <c r="A22" s="475" t="s">
        <v>93</v>
      </c>
      <c r="B22" s="475"/>
      <c r="C22" s="476"/>
      <c r="D22" s="225"/>
      <c r="E22" s="225"/>
      <c r="F22" s="90"/>
    </row>
    <row r="23" spans="1:7" ht="15.75">
      <c r="A23" s="477" t="s">
        <v>275</v>
      </c>
      <c r="B23" s="477"/>
      <c r="C23" s="477"/>
      <c r="D23" s="477"/>
      <c r="E23" s="226"/>
      <c r="F23" s="90"/>
      <c r="G23" s="182"/>
    </row>
  </sheetData>
  <sheetProtection/>
  <mergeCells count="4">
    <mergeCell ref="A22:C22"/>
    <mergeCell ref="A23:D23"/>
    <mergeCell ref="A8:E8"/>
    <mergeCell ref="A15:C15"/>
  </mergeCells>
  <printOptions/>
  <pageMargins left="0.984251968503937" right="0.5118110236220472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="145" zoomScaleNormal="145" zoomScalePageLayoutView="0" workbookViewId="0" topLeftCell="A13">
      <selection activeCell="J15" sqref="J15"/>
    </sheetView>
  </sheetViews>
  <sheetFormatPr defaultColWidth="9.140625" defaultRowHeight="15"/>
  <cols>
    <col min="1" max="1" width="5.7109375" style="0" customWidth="1"/>
    <col min="2" max="2" width="31.421875" style="0" customWidth="1"/>
    <col min="3" max="3" width="8.421875" style="0" customWidth="1"/>
    <col min="4" max="4" width="11.00390625" style="0" customWidth="1"/>
    <col min="5" max="5" width="18.7109375" style="0" customWidth="1"/>
    <col min="6" max="6" width="14.28125" style="0" bestFit="1" customWidth="1"/>
    <col min="7" max="7" width="6.140625" style="0" customWidth="1"/>
  </cols>
  <sheetData>
    <row r="1" spans="1:8" s="1" customFormat="1" ht="15.75">
      <c r="A1" s="90"/>
      <c r="B1" s="90"/>
      <c r="C1" s="90"/>
      <c r="D1" s="90"/>
      <c r="E1" s="90"/>
      <c r="F1" s="90"/>
      <c r="G1" s="90"/>
      <c r="H1" s="90"/>
    </row>
    <row r="2" spans="1:8" s="1" customFormat="1" ht="15.75">
      <c r="A2" s="90"/>
      <c r="B2" s="90"/>
      <c r="C2" s="90"/>
      <c r="D2" s="90"/>
      <c r="E2" s="90"/>
      <c r="F2" s="90"/>
      <c r="G2" s="90"/>
      <c r="H2" s="90"/>
    </row>
    <row r="3" spans="1:8" s="1" customFormat="1" ht="15.75">
      <c r="A3" s="90"/>
      <c r="B3" s="90"/>
      <c r="C3" s="90"/>
      <c r="D3" s="90"/>
      <c r="E3" s="90"/>
      <c r="F3" s="90"/>
      <c r="G3" s="90"/>
      <c r="H3" s="90"/>
    </row>
    <row r="4" spans="1:8" s="1" customFormat="1" ht="15.75">
      <c r="A4" s="90"/>
      <c r="B4" s="90"/>
      <c r="C4" s="90"/>
      <c r="D4" s="90"/>
      <c r="E4" s="90"/>
      <c r="F4" s="90"/>
      <c r="G4" s="90"/>
      <c r="H4" s="90"/>
    </row>
    <row r="5" spans="1:8" s="1" customFormat="1" ht="15.75">
      <c r="A5" s="90"/>
      <c r="B5" s="90"/>
      <c r="C5" s="90"/>
      <c r="D5" s="90"/>
      <c r="E5" s="90"/>
      <c r="F5" s="90"/>
      <c r="G5" s="90"/>
      <c r="H5" s="90"/>
    </row>
    <row r="6" spans="1:8" s="1" customFormat="1" ht="15.75">
      <c r="A6" s="90"/>
      <c r="B6" s="90"/>
      <c r="C6" s="90"/>
      <c r="D6" s="90"/>
      <c r="E6" s="90"/>
      <c r="F6" s="90"/>
      <c r="G6" s="90"/>
      <c r="H6" s="90"/>
    </row>
    <row r="7" spans="1:8" ht="29.25" customHeight="1">
      <c r="A7" s="485" t="s">
        <v>567</v>
      </c>
      <c r="B7" s="485"/>
      <c r="C7" s="485"/>
      <c r="D7" s="485"/>
      <c r="E7" s="485"/>
      <c r="F7" s="485"/>
      <c r="G7" s="485"/>
      <c r="H7" s="90"/>
    </row>
    <row r="8" spans="1:8" ht="15.75">
      <c r="A8" s="90"/>
      <c r="B8" s="90"/>
      <c r="C8" s="90"/>
      <c r="D8" s="90"/>
      <c r="E8" s="90"/>
      <c r="F8" s="486"/>
      <c r="G8" s="486"/>
      <c r="H8" s="90"/>
    </row>
    <row r="9" spans="1:8" ht="31.5">
      <c r="A9" s="91" t="s">
        <v>98</v>
      </c>
      <c r="B9" s="92" t="s">
        <v>94</v>
      </c>
      <c r="C9" s="92" t="s">
        <v>95</v>
      </c>
      <c r="D9" s="92" t="s">
        <v>535</v>
      </c>
      <c r="E9" s="92" t="s">
        <v>87</v>
      </c>
      <c r="F9" s="487" t="s">
        <v>97</v>
      </c>
      <c r="G9" s="487"/>
      <c r="H9" s="90"/>
    </row>
    <row r="10" spans="1:8" ht="78.75">
      <c r="A10" s="93">
        <v>1</v>
      </c>
      <c r="B10" s="316" t="s">
        <v>595</v>
      </c>
      <c r="C10" s="93" t="s">
        <v>99</v>
      </c>
      <c r="D10" s="93">
        <v>100</v>
      </c>
      <c r="E10" s="94"/>
      <c r="F10" s="478"/>
      <c r="G10" s="478"/>
      <c r="H10" s="90"/>
    </row>
    <row r="11" spans="1:8" ht="78.75">
      <c r="A11" s="93">
        <v>2</v>
      </c>
      <c r="B11" s="316" t="s">
        <v>594</v>
      </c>
      <c r="C11" s="93" t="s">
        <v>99</v>
      </c>
      <c r="D11" s="93">
        <v>100</v>
      </c>
      <c r="E11" s="94"/>
      <c r="F11" s="478"/>
      <c r="G11" s="478"/>
      <c r="H11" s="90"/>
    </row>
    <row r="12" spans="1:8" ht="31.5">
      <c r="A12" s="93">
        <v>3</v>
      </c>
      <c r="B12" s="318" t="s">
        <v>597</v>
      </c>
      <c r="C12" s="93" t="s">
        <v>99</v>
      </c>
      <c r="D12" s="93">
        <v>100</v>
      </c>
      <c r="E12" s="94"/>
      <c r="F12" s="478"/>
      <c r="G12" s="478"/>
      <c r="H12" s="90"/>
    </row>
    <row r="13" spans="1:8" ht="63">
      <c r="A13" s="93">
        <v>4</v>
      </c>
      <c r="B13" s="317" t="s">
        <v>596</v>
      </c>
      <c r="C13" s="93" t="s">
        <v>99</v>
      </c>
      <c r="D13" s="93">
        <v>100</v>
      </c>
      <c r="E13" s="94"/>
      <c r="F13" s="478"/>
      <c r="G13" s="478"/>
      <c r="H13" s="90"/>
    </row>
    <row r="14" spans="1:8" ht="47.25">
      <c r="A14" s="93">
        <v>5</v>
      </c>
      <c r="B14" s="317" t="s">
        <v>598</v>
      </c>
      <c r="C14" s="93" t="s">
        <v>99</v>
      </c>
      <c r="D14" s="93">
        <v>100</v>
      </c>
      <c r="E14" s="94"/>
      <c r="F14" s="478"/>
      <c r="G14" s="478"/>
      <c r="H14" s="90"/>
    </row>
    <row r="15" spans="1:8" ht="47.25">
      <c r="A15" s="93">
        <v>6</v>
      </c>
      <c r="B15" s="317" t="s">
        <v>599</v>
      </c>
      <c r="C15" s="93" t="s">
        <v>99</v>
      </c>
      <c r="D15" s="93">
        <v>100</v>
      </c>
      <c r="E15" s="94"/>
      <c r="F15" s="478"/>
      <c r="G15" s="478"/>
      <c r="H15" s="90"/>
    </row>
    <row r="16" spans="1:8" ht="15.75">
      <c r="A16" s="312"/>
      <c r="B16" s="313"/>
      <c r="C16" s="314"/>
      <c r="D16" s="314"/>
      <c r="E16" s="315"/>
      <c r="F16" s="304"/>
      <c r="G16" s="304"/>
      <c r="H16" s="90"/>
    </row>
    <row r="17" spans="1:8" ht="15.75">
      <c r="A17" s="480" t="s">
        <v>100</v>
      </c>
      <c r="B17" s="481"/>
      <c r="C17" s="481"/>
      <c r="D17" s="481"/>
      <c r="E17" s="482"/>
      <c r="F17" s="479"/>
      <c r="G17" s="479"/>
      <c r="H17" s="90"/>
    </row>
    <row r="18" spans="1:7" s="10" customFormat="1" ht="16.5">
      <c r="A18" s="205"/>
      <c r="B18" s="207"/>
      <c r="E18" s="213" t="s">
        <v>532</v>
      </c>
      <c r="F18" s="483"/>
      <c r="G18" s="484"/>
    </row>
    <row r="19" spans="1:8" ht="15.75">
      <c r="A19" s="90"/>
      <c r="B19" s="90"/>
      <c r="C19" s="90"/>
      <c r="D19" s="90"/>
      <c r="E19" s="90"/>
      <c r="F19" s="197"/>
      <c r="G19" s="90"/>
      <c r="H19" s="90"/>
    </row>
    <row r="20" spans="1:8" ht="15.75">
      <c r="A20" s="90"/>
      <c r="B20" s="90"/>
      <c r="C20" s="90"/>
      <c r="D20" s="90"/>
      <c r="E20" s="90"/>
      <c r="F20" s="197"/>
      <c r="G20" s="90"/>
      <c r="H20" s="90"/>
    </row>
    <row r="21" spans="1:8" ht="15.75">
      <c r="A21" s="90"/>
      <c r="B21" s="90"/>
      <c r="C21" s="90"/>
      <c r="D21" s="90"/>
      <c r="E21" s="90"/>
      <c r="F21" s="90"/>
      <c r="G21" s="90"/>
      <c r="H21" s="90"/>
    </row>
    <row r="22" spans="1:8" ht="15.75">
      <c r="A22" s="90"/>
      <c r="B22" s="90"/>
      <c r="C22" s="90"/>
      <c r="D22" s="90"/>
      <c r="E22" s="90"/>
      <c r="F22" s="90"/>
      <c r="G22" s="90"/>
      <c r="H22" s="90"/>
    </row>
  </sheetData>
  <sheetProtection/>
  <mergeCells count="12">
    <mergeCell ref="A7:G7"/>
    <mergeCell ref="F8:G8"/>
    <mergeCell ref="F9:G9"/>
    <mergeCell ref="F10:G10"/>
    <mergeCell ref="F11:G11"/>
    <mergeCell ref="F12:G12"/>
    <mergeCell ref="F14:G14"/>
    <mergeCell ref="F15:G15"/>
    <mergeCell ref="F13:G13"/>
    <mergeCell ref="F17:G17"/>
    <mergeCell ref="A17:E17"/>
    <mergeCell ref="F18:G18"/>
  </mergeCells>
  <printOptions/>
  <pageMargins left="0.9448818897637796" right="0.5118110236220472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zoomScale="115" zoomScaleNormal="115" zoomScalePageLayoutView="0" workbookViewId="0" topLeftCell="A1">
      <selection activeCell="C21" sqref="C21"/>
    </sheetView>
  </sheetViews>
  <sheetFormatPr defaultColWidth="9.140625" defaultRowHeight="15"/>
  <cols>
    <col min="1" max="1" width="4.7109375" style="0" customWidth="1"/>
    <col min="2" max="2" width="35.57421875" style="0" customWidth="1"/>
    <col min="4" max="4" width="7.421875" style="0" customWidth="1"/>
    <col min="5" max="5" width="12.00390625" style="0" customWidth="1"/>
    <col min="6" max="6" width="14.28125" style="0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6" spans="1:6" s="1" customFormat="1" ht="15.75">
      <c r="A6" s="90"/>
      <c r="B6" s="90"/>
      <c r="C6" s="90"/>
      <c r="D6" s="90"/>
      <c r="E6" s="90"/>
      <c r="F6" s="90"/>
    </row>
    <row r="7" spans="1:6" ht="15.75">
      <c r="A7" s="488" t="s">
        <v>566</v>
      </c>
      <c r="B7" s="488"/>
      <c r="C7" s="488"/>
      <c r="D7" s="488"/>
      <c r="E7" s="488"/>
      <c r="F7" s="488"/>
    </row>
    <row r="8" spans="1:6" ht="15.75">
      <c r="A8" s="90"/>
      <c r="B8" s="90"/>
      <c r="C8" s="90"/>
      <c r="D8" s="90"/>
      <c r="E8" s="90"/>
      <c r="F8" s="90"/>
    </row>
    <row r="9" spans="1:6" ht="31.5">
      <c r="A9" s="103" t="s">
        <v>98</v>
      </c>
      <c r="B9" s="103" t="s">
        <v>94</v>
      </c>
      <c r="C9" s="103" t="s">
        <v>101</v>
      </c>
      <c r="D9" s="103" t="s">
        <v>96</v>
      </c>
      <c r="E9" s="104" t="s">
        <v>102</v>
      </c>
      <c r="F9" s="103" t="s">
        <v>97</v>
      </c>
    </row>
    <row r="10" spans="1:6" ht="15.75">
      <c r="A10" s="105">
        <v>1</v>
      </c>
      <c r="B10" s="106" t="s">
        <v>557</v>
      </c>
      <c r="C10" s="105" t="s">
        <v>101</v>
      </c>
      <c r="D10" s="105">
        <v>5</v>
      </c>
      <c r="E10" s="107"/>
      <c r="F10" s="107"/>
    </row>
    <row r="11" spans="1:6" ht="15.75">
      <c r="A11" s="105">
        <v>2</v>
      </c>
      <c r="B11" s="106" t="s">
        <v>103</v>
      </c>
      <c r="C11" s="105" t="s">
        <v>101</v>
      </c>
      <c r="D11" s="105">
        <v>5</v>
      </c>
      <c r="E11" s="107"/>
      <c r="F11" s="107"/>
    </row>
    <row r="12" spans="1:6" ht="15.75">
      <c r="A12" s="105">
        <v>3</v>
      </c>
      <c r="B12" s="106" t="s">
        <v>558</v>
      </c>
      <c r="C12" s="105" t="s">
        <v>101</v>
      </c>
      <c r="D12" s="105">
        <v>5</v>
      </c>
      <c r="E12" s="107"/>
      <c r="F12" s="107"/>
    </row>
    <row r="13" spans="1:6" ht="15.75">
      <c r="A13" s="489" t="s">
        <v>100</v>
      </c>
      <c r="B13" s="490"/>
      <c r="C13" s="490"/>
      <c r="D13" s="490"/>
      <c r="E13" s="491"/>
      <c r="F13" s="109"/>
    </row>
    <row r="14" spans="1:6" s="10" customFormat="1" ht="16.5">
      <c r="A14" s="205"/>
      <c r="B14" s="207"/>
      <c r="E14" s="213" t="s">
        <v>532</v>
      </c>
      <c r="F14" s="214"/>
    </row>
    <row r="15" spans="1:6" ht="15.75">
      <c r="A15" s="90"/>
      <c r="B15" s="90"/>
      <c r="C15" s="90"/>
      <c r="D15" s="90"/>
      <c r="E15" s="90"/>
      <c r="F15" s="90"/>
    </row>
    <row r="16" spans="1:6" ht="15.75">
      <c r="A16" s="90"/>
      <c r="B16" s="90"/>
      <c r="C16" s="90"/>
      <c r="D16" s="90"/>
      <c r="E16" s="90"/>
      <c r="F16" s="90"/>
    </row>
    <row r="17" spans="1:6" ht="15.75">
      <c r="A17" s="90"/>
      <c r="B17" s="90"/>
      <c r="C17" s="90"/>
      <c r="D17" s="90"/>
      <c r="E17" s="90"/>
      <c r="F17" s="90"/>
    </row>
    <row r="18" spans="1:6" ht="15.75">
      <c r="A18" s="90"/>
      <c r="B18" s="90"/>
      <c r="C18" s="90"/>
      <c r="D18" s="90"/>
      <c r="E18" s="90"/>
      <c r="F18" s="90"/>
    </row>
    <row r="19" spans="1:6" ht="15.75">
      <c r="A19" s="90"/>
      <c r="B19" s="90"/>
      <c r="C19" s="90"/>
      <c r="D19" s="90"/>
      <c r="E19" s="90"/>
      <c r="F19" s="90"/>
    </row>
  </sheetData>
  <sheetProtection/>
  <mergeCells count="2">
    <mergeCell ref="A7:F7"/>
    <mergeCell ref="A13:E13"/>
  </mergeCells>
  <printOptions/>
  <pageMargins left="1.1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9"/>
  <sheetViews>
    <sheetView zoomScale="145" zoomScaleNormal="145" zoomScalePageLayoutView="0" workbookViewId="0" topLeftCell="A1">
      <selection activeCell="K55" sqref="K55"/>
    </sheetView>
  </sheetViews>
  <sheetFormatPr defaultColWidth="9.140625" defaultRowHeight="15"/>
  <cols>
    <col min="1" max="1" width="4.57421875" style="0" customWidth="1"/>
    <col min="2" max="2" width="38.8515625" style="0" customWidth="1"/>
    <col min="3" max="3" width="7.8515625" style="0" customWidth="1"/>
    <col min="4" max="4" width="8.00390625" style="0" customWidth="1"/>
    <col min="5" max="5" width="10.28125" style="0" bestFit="1" customWidth="1"/>
    <col min="6" max="6" width="18.140625" style="0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7" spans="1:6" s="10" customFormat="1" ht="15.75" customHeight="1">
      <c r="A7" s="492" t="s">
        <v>568</v>
      </c>
      <c r="B7" s="493"/>
      <c r="C7" s="493"/>
      <c r="D7" s="493"/>
      <c r="E7" s="493"/>
      <c r="F7" s="493"/>
    </row>
    <row r="8" spans="1:6" s="10" customFormat="1" ht="16.5">
      <c r="A8" s="494"/>
      <c r="B8" s="495"/>
      <c r="C8" s="495"/>
      <c r="D8" s="495"/>
      <c r="E8" s="495"/>
      <c r="F8" s="495"/>
    </row>
    <row r="9" spans="1:6" s="10" customFormat="1" ht="33">
      <c r="A9" s="234" t="s">
        <v>98</v>
      </c>
      <c r="B9" s="234" t="s">
        <v>94</v>
      </c>
      <c r="C9" s="234" t="s">
        <v>101</v>
      </c>
      <c r="D9" s="234" t="s">
        <v>96</v>
      </c>
      <c r="E9" s="235" t="s">
        <v>102</v>
      </c>
      <c r="F9" s="234" t="s">
        <v>97</v>
      </c>
    </row>
    <row r="10" spans="1:8" s="10" customFormat="1" ht="16.5">
      <c r="A10" s="236">
        <v>1</v>
      </c>
      <c r="B10" s="237" t="s">
        <v>612</v>
      </c>
      <c r="C10" s="236" t="s">
        <v>101</v>
      </c>
      <c r="D10" s="236">
        <v>6</v>
      </c>
      <c r="E10" s="238"/>
      <c r="F10" s="238"/>
      <c r="G10" s="198"/>
      <c r="H10" s="198"/>
    </row>
    <row r="11" spans="1:6" s="10" customFormat="1" ht="16.5">
      <c r="A11" s="236">
        <v>2</v>
      </c>
      <c r="B11" s="237" t="s">
        <v>104</v>
      </c>
      <c r="C11" s="236" t="s">
        <v>101</v>
      </c>
      <c r="D11" s="236">
        <v>6</v>
      </c>
      <c r="E11" s="239"/>
      <c r="F11" s="238"/>
    </row>
    <row r="12" spans="1:6" s="10" customFormat="1" ht="16.5">
      <c r="A12" s="236">
        <v>3</v>
      </c>
      <c r="B12" s="237" t="s">
        <v>105</v>
      </c>
      <c r="C12" s="236" t="s">
        <v>101</v>
      </c>
      <c r="D12" s="236">
        <v>3</v>
      </c>
      <c r="E12" s="239"/>
      <c r="F12" s="238"/>
    </row>
    <row r="13" spans="1:6" s="10" customFormat="1" ht="16.5">
      <c r="A13" s="236">
        <v>4</v>
      </c>
      <c r="B13" s="237" t="s">
        <v>106</v>
      </c>
      <c r="C13" s="236" t="s">
        <v>101</v>
      </c>
      <c r="D13" s="236">
        <v>3</v>
      </c>
      <c r="E13" s="239"/>
      <c r="F13" s="238"/>
    </row>
    <row r="14" spans="1:6" s="10" customFormat="1" ht="16.5" hidden="1">
      <c r="A14" s="236">
        <v>5</v>
      </c>
      <c r="B14" s="240" t="s">
        <v>107</v>
      </c>
      <c r="C14" s="236" t="s">
        <v>101</v>
      </c>
      <c r="D14" s="236">
        <v>0</v>
      </c>
      <c r="E14" s="239"/>
      <c r="F14" s="238"/>
    </row>
    <row r="15" spans="1:6" s="10" customFormat="1" ht="16.5">
      <c r="A15" s="236">
        <v>5</v>
      </c>
      <c r="B15" s="237" t="s">
        <v>108</v>
      </c>
      <c r="C15" s="236" t="s">
        <v>101</v>
      </c>
      <c r="D15" s="236">
        <v>6</v>
      </c>
      <c r="E15" s="239"/>
      <c r="F15" s="238"/>
    </row>
    <row r="16" spans="1:6" s="10" customFormat="1" ht="16.5">
      <c r="A16" s="236">
        <v>6</v>
      </c>
      <c r="B16" s="241" t="s">
        <v>109</v>
      </c>
      <c r="C16" s="236" t="s">
        <v>101</v>
      </c>
      <c r="D16" s="236">
        <v>45</v>
      </c>
      <c r="E16" s="239"/>
      <c r="F16" s="238"/>
    </row>
    <row r="17" spans="1:6" s="10" customFormat="1" ht="16.5">
      <c r="A17" s="236">
        <v>7</v>
      </c>
      <c r="B17" s="241" t="s">
        <v>110</v>
      </c>
      <c r="C17" s="236" t="s">
        <v>101</v>
      </c>
      <c r="D17" s="236">
        <v>3</v>
      </c>
      <c r="E17" s="239"/>
      <c r="F17" s="238"/>
    </row>
    <row r="18" spans="1:6" s="10" customFormat="1" ht="16.5">
      <c r="A18" s="236">
        <v>8</v>
      </c>
      <c r="B18" s="237" t="s">
        <v>111</v>
      </c>
      <c r="C18" s="236" t="s">
        <v>101</v>
      </c>
      <c r="D18" s="236">
        <v>3</v>
      </c>
      <c r="E18" s="239"/>
      <c r="F18" s="238"/>
    </row>
    <row r="19" spans="1:6" s="10" customFormat="1" ht="16.5">
      <c r="A19" s="236">
        <v>9</v>
      </c>
      <c r="B19" s="237" t="s">
        <v>112</v>
      </c>
      <c r="C19" s="236" t="s">
        <v>101</v>
      </c>
      <c r="D19" s="236">
        <v>3</v>
      </c>
      <c r="E19" s="239"/>
      <c r="F19" s="238"/>
    </row>
    <row r="20" spans="1:6" s="10" customFormat="1" ht="16.5">
      <c r="A20" s="236">
        <v>10</v>
      </c>
      <c r="B20" s="237" t="s">
        <v>113</v>
      </c>
      <c r="C20" s="236" t="s">
        <v>101</v>
      </c>
      <c r="D20" s="236">
        <v>3</v>
      </c>
      <c r="E20" s="239"/>
      <c r="F20" s="238"/>
    </row>
    <row r="21" spans="1:6" s="10" customFormat="1" ht="16.5">
      <c r="A21" s="236">
        <v>11</v>
      </c>
      <c r="B21" s="237" t="s">
        <v>114</v>
      </c>
      <c r="C21" s="236" t="s">
        <v>101</v>
      </c>
      <c r="D21" s="236">
        <v>3</v>
      </c>
      <c r="E21" s="239"/>
      <c r="F21" s="238"/>
    </row>
    <row r="22" spans="1:6" s="10" customFormat="1" ht="16.5">
      <c r="A22" s="236">
        <v>12</v>
      </c>
      <c r="B22" s="237" t="s">
        <v>115</v>
      </c>
      <c r="C22" s="236" t="s">
        <v>101</v>
      </c>
      <c r="D22" s="236">
        <v>3</v>
      </c>
      <c r="E22" s="239"/>
      <c r="F22" s="238"/>
    </row>
    <row r="23" spans="1:6" s="10" customFormat="1" ht="16.5">
      <c r="A23" s="236">
        <v>13</v>
      </c>
      <c r="B23" s="237" t="s">
        <v>116</v>
      </c>
      <c r="C23" s="236" t="s">
        <v>101</v>
      </c>
      <c r="D23" s="236">
        <v>3</v>
      </c>
      <c r="E23" s="239"/>
      <c r="F23" s="238"/>
    </row>
    <row r="24" spans="1:6" s="10" customFormat="1" ht="16.5">
      <c r="A24" s="236">
        <v>14</v>
      </c>
      <c r="B24" s="237" t="s">
        <v>117</v>
      </c>
      <c r="C24" s="236" t="s">
        <v>101</v>
      </c>
      <c r="D24" s="236">
        <v>9</v>
      </c>
      <c r="E24" s="239"/>
      <c r="F24" s="238"/>
    </row>
    <row r="25" spans="1:6" s="10" customFormat="1" ht="16.5">
      <c r="A25" s="236">
        <v>15</v>
      </c>
      <c r="B25" s="237" t="s">
        <v>118</v>
      </c>
      <c r="C25" s="236" t="s">
        <v>101</v>
      </c>
      <c r="D25" s="236">
        <v>3</v>
      </c>
      <c r="E25" s="239"/>
      <c r="F25" s="238"/>
    </row>
    <row r="26" spans="1:6" s="10" customFormat="1" ht="16.5">
      <c r="A26" s="236">
        <v>16</v>
      </c>
      <c r="B26" s="237" t="s">
        <v>119</v>
      </c>
      <c r="C26" s="236" t="s">
        <v>101</v>
      </c>
      <c r="D26" s="236">
        <v>3</v>
      </c>
      <c r="E26" s="239"/>
      <c r="F26" s="238"/>
    </row>
    <row r="27" spans="1:6" s="10" customFormat="1" ht="16.5">
      <c r="A27" s="236">
        <v>17</v>
      </c>
      <c r="B27" s="241" t="s">
        <v>283</v>
      </c>
      <c r="C27" s="236" t="s">
        <v>101</v>
      </c>
      <c r="D27" s="236">
        <v>45</v>
      </c>
      <c r="E27" s="239"/>
      <c r="F27" s="238"/>
    </row>
    <row r="28" spans="1:6" s="10" customFormat="1" ht="16.5">
      <c r="A28" s="236">
        <v>18</v>
      </c>
      <c r="B28" s="242" t="s">
        <v>616</v>
      </c>
      <c r="C28" s="243" t="s">
        <v>101</v>
      </c>
      <c r="D28" s="243">
        <v>6</v>
      </c>
      <c r="E28" s="239"/>
      <c r="F28" s="244"/>
    </row>
    <row r="29" spans="1:6" s="10" customFormat="1" ht="16.5">
      <c r="A29" s="236">
        <v>19</v>
      </c>
      <c r="B29" s="245" t="s">
        <v>615</v>
      </c>
      <c r="C29" s="243" t="s">
        <v>120</v>
      </c>
      <c r="D29" s="243">
        <v>6</v>
      </c>
      <c r="E29" s="244"/>
      <c r="F29" s="244"/>
    </row>
    <row r="30" spans="1:6" s="10" customFormat="1" ht="16.5">
      <c r="A30" s="236">
        <v>20</v>
      </c>
      <c r="B30" s="246" t="s">
        <v>121</v>
      </c>
      <c r="C30" s="243" t="s">
        <v>101</v>
      </c>
      <c r="D30" s="243">
        <v>6</v>
      </c>
      <c r="E30" s="244"/>
      <c r="F30" s="244"/>
    </row>
    <row r="31" spans="1:6" s="10" customFormat="1" ht="16.5">
      <c r="A31" s="236">
        <v>21</v>
      </c>
      <c r="B31" s="246" t="s">
        <v>614</v>
      </c>
      <c r="C31" s="243" t="s">
        <v>613</v>
      </c>
      <c r="D31" s="243">
        <v>6</v>
      </c>
      <c r="E31" s="244"/>
      <c r="F31" s="244"/>
    </row>
    <row r="32" spans="1:6" s="10" customFormat="1" ht="16.5">
      <c r="A32" s="236">
        <v>22</v>
      </c>
      <c r="B32" s="246" t="s">
        <v>123</v>
      </c>
      <c r="C32" s="243" t="s">
        <v>120</v>
      </c>
      <c r="D32" s="243">
        <v>30</v>
      </c>
      <c r="E32" s="244"/>
      <c r="F32" s="244"/>
    </row>
    <row r="33" spans="1:6" s="10" customFormat="1" ht="16.5">
      <c r="A33" s="236">
        <v>23</v>
      </c>
      <c r="B33" s="246" t="s">
        <v>124</v>
      </c>
      <c r="C33" s="243" t="s">
        <v>122</v>
      </c>
      <c r="D33" s="243">
        <v>30</v>
      </c>
      <c r="E33" s="244"/>
      <c r="F33" s="244"/>
    </row>
    <row r="34" spans="1:6" s="10" customFormat="1" ht="16.5">
      <c r="A34" s="236">
        <v>24</v>
      </c>
      <c r="B34" s="246" t="s">
        <v>125</v>
      </c>
      <c r="C34" s="243" t="s">
        <v>101</v>
      </c>
      <c r="D34" s="243">
        <v>30</v>
      </c>
      <c r="E34" s="244"/>
      <c r="F34" s="244"/>
    </row>
    <row r="35" spans="1:6" s="10" customFormat="1" ht="16.5">
      <c r="A35" s="236">
        <v>25</v>
      </c>
      <c r="B35" s="246" t="s">
        <v>126</v>
      </c>
      <c r="C35" s="243" t="s">
        <v>122</v>
      </c>
      <c r="D35" s="243">
        <v>30</v>
      </c>
      <c r="E35" s="244"/>
      <c r="F35" s="244"/>
    </row>
    <row r="36" spans="1:6" s="10" customFormat="1" ht="17.25" customHeight="1">
      <c r="A36" s="236">
        <v>26</v>
      </c>
      <c r="B36" s="246" t="s">
        <v>617</v>
      </c>
      <c r="C36" s="243" t="s">
        <v>122</v>
      </c>
      <c r="D36" s="243">
        <v>3</v>
      </c>
      <c r="E36" s="244"/>
      <c r="F36" s="244"/>
    </row>
    <row r="37" spans="1:6" s="10" customFormat="1" ht="16.5">
      <c r="A37" s="236">
        <v>27</v>
      </c>
      <c r="B37" s="246" t="s">
        <v>618</v>
      </c>
      <c r="C37" s="243" t="s">
        <v>122</v>
      </c>
      <c r="D37" s="243">
        <v>30</v>
      </c>
      <c r="E37" s="244"/>
      <c r="F37" s="244"/>
    </row>
    <row r="38" spans="1:6" s="10" customFormat="1" ht="16.5">
      <c r="A38" s="236">
        <v>28</v>
      </c>
      <c r="B38" s="242" t="s">
        <v>127</v>
      </c>
      <c r="C38" s="243" t="s">
        <v>122</v>
      </c>
      <c r="D38" s="243">
        <v>45</v>
      </c>
      <c r="E38" s="244"/>
      <c r="F38" s="244"/>
    </row>
    <row r="39" spans="1:6" s="10" customFormat="1" ht="16.5">
      <c r="A39" s="236">
        <v>29</v>
      </c>
      <c r="B39" s="242" t="s">
        <v>128</v>
      </c>
      <c r="C39" s="243" t="s">
        <v>122</v>
      </c>
      <c r="D39" s="243">
        <v>45</v>
      </c>
      <c r="E39" s="244"/>
      <c r="F39" s="244"/>
    </row>
    <row r="40" spans="1:6" s="10" customFormat="1" ht="16.5">
      <c r="A40" s="236">
        <v>30</v>
      </c>
      <c r="B40" s="242" t="s">
        <v>129</v>
      </c>
      <c r="C40" s="243" t="s">
        <v>122</v>
      </c>
      <c r="D40" s="243">
        <v>45</v>
      </c>
      <c r="E40" s="244"/>
      <c r="F40" s="244"/>
    </row>
    <row r="41" spans="1:6" s="10" customFormat="1" ht="16.5">
      <c r="A41" s="236">
        <v>31</v>
      </c>
      <c r="B41" s="242" t="s">
        <v>130</v>
      </c>
      <c r="C41" s="243" t="s">
        <v>122</v>
      </c>
      <c r="D41" s="243">
        <v>45</v>
      </c>
      <c r="E41" s="244"/>
      <c r="F41" s="244"/>
    </row>
    <row r="42" spans="1:6" s="10" customFormat="1" ht="16.5">
      <c r="A42" s="236">
        <v>32</v>
      </c>
      <c r="B42" s="242" t="s">
        <v>619</v>
      </c>
      <c r="C42" s="243" t="s">
        <v>122</v>
      </c>
      <c r="D42" s="243">
        <v>45</v>
      </c>
      <c r="E42" s="244"/>
      <c r="F42" s="244"/>
    </row>
    <row r="43" spans="1:6" s="10" customFormat="1" ht="16.5">
      <c r="A43" s="236">
        <v>33</v>
      </c>
      <c r="B43" s="242" t="s">
        <v>131</v>
      </c>
      <c r="C43" s="243" t="s">
        <v>101</v>
      </c>
      <c r="D43" s="243">
        <v>6</v>
      </c>
      <c r="E43" s="244"/>
      <c r="F43" s="244"/>
    </row>
    <row r="44" spans="1:6" s="10" customFormat="1" ht="16.5">
      <c r="A44" s="236">
        <v>34</v>
      </c>
      <c r="B44" s="242" t="s">
        <v>456</v>
      </c>
      <c r="C44" s="243" t="s">
        <v>101</v>
      </c>
      <c r="D44" s="243">
        <v>3</v>
      </c>
      <c r="E44" s="244"/>
      <c r="F44" s="244"/>
    </row>
    <row r="45" spans="1:4" s="10" customFormat="1" ht="16.5" hidden="1">
      <c r="A45" s="236">
        <v>36</v>
      </c>
      <c r="B45" s="242" t="s">
        <v>457</v>
      </c>
      <c r="C45" s="243" t="s">
        <v>101</v>
      </c>
      <c r="D45" s="243">
        <v>3</v>
      </c>
    </row>
    <row r="46" spans="1:6" s="10" customFormat="1" ht="16.5" hidden="1">
      <c r="A46" s="236">
        <v>37</v>
      </c>
      <c r="B46" s="242" t="s">
        <v>458</v>
      </c>
      <c r="C46" s="243" t="s">
        <v>101</v>
      </c>
      <c r="D46" s="243">
        <v>3</v>
      </c>
      <c r="E46" s="244">
        <v>0</v>
      </c>
      <c r="F46" s="244">
        <f>D45*E46</f>
        <v>0</v>
      </c>
    </row>
    <row r="47" spans="1:6" s="10" customFormat="1" ht="16.5" hidden="1">
      <c r="A47" s="236">
        <v>38</v>
      </c>
      <c r="B47" s="242" t="s">
        <v>459</v>
      </c>
      <c r="C47" s="243" t="s">
        <v>101</v>
      </c>
      <c r="D47" s="243">
        <v>3</v>
      </c>
      <c r="E47" s="244"/>
      <c r="F47" s="244"/>
    </row>
    <row r="48" spans="1:6" s="10" customFormat="1" ht="16.5">
      <c r="A48" s="496" t="s">
        <v>132</v>
      </c>
      <c r="B48" s="497"/>
      <c r="C48" s="497"/>
      <c r="D48" s="497"/>
      <c r="E48" s="497"/>
      <c r="F48" s="320"/>
    </row>
    <row r="49" spans="1:6" ht="16.5">
      <c r="A49" s="10"/>
      <c r="B49" s="10"/>
      <c r="C49" s="10"/>
      <c r="D49" s="10"/>
      <c r="E49" s="10"/>
      <c r="F49" s="198"/>
    </row>
  </sheetData>
  <sheetProtection/>
  <mergeCells count="2">
    <mergeCell ref="A7:F8"/>
    <mergeCell ref="A48:E48"/>
  </mergeCells>
  <printOptions/>
  <pageMargins left="0.984251968503937" right="0.5118110236220472" top="0.82" bottom="0.2362204724409449" header="0.5118110236220472" footer="0.2755905511811024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zoomScale="145" zoomScaleNormal="145" zoomScalePageLayoutView="0" workbookViewId="0" topLeftCell="A10">
      <selection activeCell="M33" sqref="M33"/>
    </sheetView>
  </sheetViews>
  <sheetFormatPr defaultColWidth="9.140625" defaultRowHeight="15"/>
  <cols>
    <col min="1" max="1" width="5.57421875" style="0" customWidth="1"/>
    <col min="2" max="2" width="28.140625" style="0" customWidth="1"/>
    <col min="5" max="5" width="10.8515625" style="0" hidden="1" customWidth="1"/>
    <col min="6" max="6" width="13.8515625" style="0" hidden="1" customWidth="1"/>
    <col min="7" max="7" width="17.00390625" style="0" bestFit="1" customWidth="1"/>
    <col min="8" max="8" width="15.28125" style="0" customWidth="1"/>
  </cols>
  <sheetData>
    <row r="1" spans="1:7" s="1" customFormat="1" ht="15.75">
      <c r="A1" s="90"/>
      <c r="B1" s="90"/>
      <c r="C1" s="90"/>
      <c r="D1" s="90"/>
      <c r="E1" s="90"/>
      <c r="F1" s="90"/>
      <c r="G1" s="90"/>
    </row>
    <row r="2" spans="1:7" s="1" customFormat="1" ht="15.75">
      <c r="A2" s="90"/>
      <c r="B2" s="90"/>
      <c r="C2" s="90"/>
      <c r="D2" s="90"/>
      <c r="E2" s="90"/>
      <c r="F2" s="90"/>
      <c r="G2" s="90"/>
    </row>
    <row r="3" spans="1:7" s="1" customFormat="1" ht="15.75">
      <c r="A3" s="90"/>
      <c r="B3" s="90"/>
      <c r="C3" s="90"/>
      <c r="D3" s="90"/>
      <c r="E3" s="90"/>
      <c r="F3" s="90"/>
      <c r="G3" s="90"/>
    </row>
    <row r="4" spans="1:7" s="1" customFormat="1" ht="15.75">
      <c r="A4" s="90"/>
      <c r="B4" s="90"/>
      <c r="C4" s="90"/>
      <c r="D4" s="90"/>
      <c r="E4" s="90"/>
      <c r="F4" s="90"/>
      <c r="G4" s="90"/>
    </row>
    <row r="5" spans="1:7" s="1" customFormat="1" ht="15.75">
      <c r="A5" s="90"/>
      <c r="B5" s="90"/>
      <c r="C5" s="90"/>
      <c r="D5" s="90"/>
      <c r="E5" s="90"/>
      <c r="F5" s="90"/>
      <c r="G5" s="90"/>
    </row>
    <row r="6" spans="1:7" s="1" customFormat="1" ht="15.75">
      <c r="A6" s="90"/>
      <c r="B6" s="90"/>
      <c r="C6" s="90"/>
      <c r="D6" s="90"/>
      <c r="E6" s="90"/>
      <c r="F6" s="90"/>
      <c r="G6" s="90"/>
    </row>
    <row r="8" spans="1:8" ht="16.5">
      <c r="A8" s="493" t="s">
        <v>569</v>
      </c>
      <c r="B8" s="493"/>
      <c r="C8" s="493"/>
      <c r="D8" s="493"/>
      <c r="E8" s="493"/>
      <c r="F8" s="493"/>
      <c r="G8" s="493"/>
      <c r="H8" s="493"/>
    </row>
    <row r="9" spans="1:8" ht="16.5">
      <c r="A9" s="10"/>
      <c r="B9" s="10"/>
      <c r="C9" s="10"/>
      <c r="D9" s="10"/>
      <c r="E9" s="10"/>
      <c r="F9" s="10"/>
      <c r="G9" s="10"/>
      <c r="H9" s="10"/>
    </row>
    <row r="10" spans="1:8" ht="30.75" customHeight="1">
      <c r="A10" s="247" t="s">
        <v>98</v>
      </c>
      <c r="B10" s="247" t="s">
        <v>94</v>
      </c>
      <c r="C10" s="247"/>
      <c r="D10" s="247" t="s">
        <v>96</v>
      </c>
      <c r="E10" s="247" t="s">
        <v>87</v>
      </c>
      <c r="F10" s="247" t="s">
        <v>97</v>
      </c>
      <c r="G10" s="247" t="s">
        <v>620</v>
      </c>
      <c r="H10" s="247" t="s">
        <v>97</v>
      </c>
    </row>
    <row r="11" spans="1:8" ht="16.5">
      <c r="A11" s="236">
        <v>1</v>
      </c>
      <c r="B11" s="237" t="s">
        <v>621</v>
      </c>
      <c r="C11" s="243" t="s">
        <v>101</v>
      </c>
      <c r="D11" s="249">
        <v>90</v>
      </c>
      <c r="E11" s="250">
        <v>4.5</v>
      </c>
      <c r="F11" s="250">
        <f>E11*D11</f>
        <v>405</v>
      </c>
      <c r="G11" s="248"/>
      <c r="H11" s="248"/>
    </row>
    <row r="12" spans="1:8" ht="16.5">
      <c r="A12" s="236">
        <v>2</v>
      </c>
      <c r="B12" s="237" t="s">
        <v>622</v>
      </c>
      <c r="C12" s="243" t="s">
        <v>101</v>
      </c>
      <c r="D12" s="249">
        <v>90</v>
      </c>
      <c r="E12" s="238">
        <v>6.8</v>
      </c>
      <c r="F12" s="250">
        <f aca="true" t="shared" si="0" ref="F12:F21">D12*E12</f>
        <v>612</v>
      </c>
      <c r="G12" s="248"/>
      <c r="H12" s="248"/>
    </row>
    <row r="13" spans="1:8" ht="16.5">
      <c r="A13" s="236">
        <v>3</v>
      </c>
      <c r="B13" s="237" t="s">
        <v>623</v>
      </c>
      <c r="C13" s="243" t="s">
        <v>101</v>
      </c>
      <c r="D13" s="249">
        <v>90</v>
      </c>
      <c r="E13" s="238">
        <v>8.4</v>
      </c>
      <c r="F13" s="250">
        <f t="shared" si="0"/>
        <v>756</v>
      </c>
      <c r="G13" s="248"/>
      <c r="H13" s="248"/>
    </row>
    <row r="14" spans="1:8" ht="16.5">
      <c r="A14" s="236">
        <v>4</v>
      </c>
      <c r="B14" s="237" t="s">
        <v>133</v>
      </c>
      <c r="C14" s="243" t="s">
        <v>101</v>
      </c>
      <c r="D14" s="249">
        <v>90</v>
      </c>
      <c r="E14" s="238">
        <v>1.46</v>
      </c>
      <c r="F14" s="250">
        <f t="shared" si="0"/>
        <v>131.4</v>
      </c>
      <c r="G14" s="248"/>
      <c r="H14" s="248"/>
    </row>
    <row r="15" spans="1:8" ht="16.5" hidden="1">
      <c r="A15" s="236">
        <v>5</v>
      </c>
      <c r="B15" s="237" t="s">
        <v>134</v>
      </c>
      <c r="C15" s="243" t="s">
        <v>101</v>
      </c>
      <c r="D15" s="249">
        <v>90</v>
      </c>
      <c r="E15" s="238">
        <v>0</v>
      </c>
      <c r="F15" s="250">
        <f t="shared" si="0"/>
        <v>0</v>
      </c>
      <c r="G15" s="248"/>
      <c r="H15" s="248"/>
    </row>
    <row r="16" spans="1:8" ht="16.5" hidden="1">
      <c r="A16" s="236">
        <v>6</v>
      </c>
      <c r="B16" s="237" t="s">
        <v>135</v>
      </c>
      <c r="C16" s="243" t="s">
        <v>101</v>
      </c>
      <c r="D16" s="249">
        <v>150</v>
      </c>
      <c r="E16" s="238">
        <v>0</v>
      </c>
      <c r="F16" s="250">
        <f t="shared" si="0"/>
        <v>0</v>
      </c>
      <c r="G16" s="248"/>
      <c r="H16" s="248"/>
    </row>
    <row r="17" spans="1:8" ht="16.5" hidden="1">
      <c r="A17" s="236">
        <v>7</v>
      </c>
      <c r="B17" s="237" t="s">
        <v>136</v>
      </c>
      <c r="C17" s="243" t="s">
        <v>101</v>
      </c>
      <c r="D17" s="249">
        <v>90</v>
      </c>
      <c r="E17" s="238">
        <v>0</v>
      </c>
      <c r="F17" s="250">
        <f t="shared" si="0"/>
        <v>0</v>
      </c>
      <c r="G17" s="248"/>
      <c r="H17" s="248"/>
    </row>
    <row r="18" spans="1:8" ht="16.5">
      <c r="A18" s="236">
        <v>5</v>
      </c>
      <c r="B18" s="237" t="s">
        <v>137</v>
      </c>
      <c r="C18" s="243" t="s">
        <v>101</v>
      </c>
      <c r="D18" s="249">
        <v>90</v>
      </c>
      <c r="E18" s="238">
        <v>9.76</v>
      </c>
      <c r="F18" s="250">
        <f t="shared" si="0"/>
        <v>878.4</v>
      </c>
      <c r="G18" s="248"/>
      <c r="H18" s="248"/>
    </row>
    <row r="19" spans="1:8" ht="16.5">
      <c r="A19" s="236">
        <v>6</v>
      </c>
      <c r="B19" s="246" t="s">
        <v>138</v>
      </c>
      <c r="C19" s="243" t="s">
        <v>101</v>
      </c>
      <c r="D19" s="249">
        <v>90</v>
      </c>
      <c r="E19" s="244">
        <v>7.5</v>
      </c>
      <c r="F19" s="244">
        <f t="shared" si="0"/>
        <v>675</v>
      </c>
      <c r="G19" s="248"/>
      <c r="H19" s="248"/>
    </row>
    <row r="20" spans="1:8" ht="16.5">
      <c r="A20" s="236">
        <v>7</v>
      </c>
      <c r="B20" s="246" t="s">
        <v>139</v>
      </c>
      <c r="C20" s="243" t="s">
        <v>101</v>
      </c>
      <c r="D20" s="249">
        <v>90</v>
      </c>
      <c r="E20" s="244">
        <v>16</v>
      </c>
      <c r="F20" s="244">
        <f t="shared" si="0"/>
        <v>1440</v>
      </c>
      <c r="G20" s="248"/>
      <c r="H20" s="248"/>
    </row>
    <row r="21" spans="1:8" ht="16.5">
      <c r="A21" s="236">
        <v>8</v>
      </c>
      <c r="B21" s="246" t="s">
        <v>140</v>
      </c>
      <c r="C21" s="243" t="s">
        <v>101</v>
      </c>
      <c r="D21" s="249">
        <v>90</v>
      </c>
      <c r="E21" s="244">
        <v>18.3</v>
      </c>
      <c r="F21" s="244">
        <f t="shared" si="0"/>
        <v>1647</v>
      </c>
      <c r="G21" s="248"/>
      <c r="H21" s="248"/>
    </row>
    <row r="22" spans="1:8" ht="16.5">
      <c r="A22" s="498" t="s">
        <v>132</v>
      </c>
      <c r="B22" s="499"/>
      <c r="C22" s="499"/>
      <c r="D22" s="499"/>
      <c r="E22" s="499"/>
      <c r="F22" s="499"/>
      <c r="G22" s="500"/>
      <c r="H22" s="251"/>
    </row>
    <row r="23" spans="1:8" ht="16.5">
      <c r="A23" s="10"/>
      <c r="B23" s="10"/>
      <c r="C23" s="10"/>
      <c r="D23" s="10"/>
      <c r="E23" s="10"/>
      <c r="F23" s="10"/>
      <c r="G23" s="10"/>
      <c r="H23" s="10"/>
    </row>
    <row r="24" ht="11.25" customHeight="1"/>
  </sheetData>
  <sheetProtection/>
  <mergeCells count="2">
    <mergeCell ref="A22:G22"/>
    <mergeCell ref="A8:H8"/>
  </mergeCells>
  <printOptions horizontalCentered="1"/>
  <pageMargins left="1.0236220472440944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2"/>
  <sheetViews>
    <sheetView zoomScale="130" zoomScaleNormal="130" zoomScalePageLayoutView="0" workbookViewId="0" topLeftCell="A62">
      <selection activeCell="J79" sqref="J79"/>
    </sheetView>
  </sheetViews>
  <sheetFormatPr defaultColWidth="9.140625" defaultRowHeight="15"/>
  <cols>
    <col min="1" max="1" width="6.421875" style="0" customWidth="1"/>
    <col min="2" max="2" width="41.421875" style="0" customWidth="1"/>
    <col min="4" max="4" width="7.8515625" style="5" customWidth="1"/>
    <col min="5" max="5" width="17.57421875" style="0" bestFit="1" customWidth="1"/>
    <col min="6" max="6" width="13.8515625" style="0" bestFit="1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6" ht="15">
      <c r="D6"/>
    </row>
    <row r="7" spans="1:6" s="10" customFormat="1" ht="16.5">
      <c r="A7" s="493" t="s">
        <v>570</v>
      </c>
      <c r="B7" s="493"/>
      <c r="C7" s="493"/>
      <c r="D7" s="493"/>
      <c r="E7" s="493"/>
      <c r="F7" s="493"/>
    </row>
    <row r="8" s="10" customFormat="1" ht="16.5"/>
    <row r="9" spans="1:6" s="10" customFormat="1" ht="16.5">
      <c r="A9" s="234" t="s">
        <v>98</v>
      </c>
      <c r="B9" s="234" t="s">
        <v>94</v>
      </c>
      <c r="C9" s="234" t="s">
        <v>95</v>
      </c>
      <c r="D9" s="234" t="s">
        <v>96</v>
      </c>
      <c r="E9" s="234" t="s">
        <v>102</v>
      </c>
      <c r="F9" s="234" t="s">
        <v>97</v>
      </c>
    </row>
    <row r="10" spans="1:6" s="50" customFormat="1" ht="16.5" hidden="1">
      <c r="A10" s="252">
        <v>1</v>
      </c>
      <c r="B10" s="253" t="s">
        <v>141</v>
      </c>
      <c r="C10" s="252" t="s">
        <v>101</v>
      </c>
      <c r="D10" s="252">
        <v>0</v>
      </c>
      <c r="E10" s="254">
        <v>7.8</v>
      </c>
      <c r="F10" s="254">
        <f>D10*E10</f>
        <v>0</v>
      </c>
    </row>
    <row r="11" spans="1:6" s="50" customFormat="1" ht="15" customHeight="1">
      <c r="A11" s="252">
        <v>1</v>
      </c>
      <c r="B11" s="253" t="s">
        <v>142</v>
      </c>
      <c r="C11" s="252" t="s">
        <v>101</v>
      </c>
      <c r="D11" s="252">
        <v>6</v>
      </c>
      <c r="E11" s="319"/>
      <c r="F11" s="254"/>
    </row>
    <row r="12" spans="1:6" s="50" customFormat="1" ht="15" customHeight="1">
      <c r="A12" s="252">
        <v>2</v>
      </c>
      <c r="B12" s="253" t="s">
        <v>600</v>
      </c>
      <c r="C12" s="252" t="s">
        <v>143</v>
      </c>
      <c r="D12" s="252">
        <v>3</v>
      </c>
      <c r="E12" s="319"/>
      <c r="F12" s="254"/>
    </row>
    <row r="13" spans="1:6" s="50" customFormat="1" ht="15" customHeight="1">
      <c r="A13" s="252">
        <v>3</v>
      </c>
      <c r="B13" s="253" t="s">
        <v>144</v>
      </c>
      <c r="C13" s="252" t="s">
        <v>122</v>
      </c>
      <c r="D13" s="252">
        <v>6</v>
      </c>
      <c r="E13" s="319"/>
      <c r="F13" s="254"/>
    </row>
    <row r="14" spans="1:6" s="50" customFormat="1" ht="15" customHeight="1">
      <c r="A14" s="252">
        <v>4</v>
      </c>
      <c r="B14" s="253" t="s">
        <v>601</v>
      </c>
      <c r="C14" s="252" t="s">
        <v>143</v>
      </c>
      <c r="D14" s="252">
        <v>3</v>
      </c>
      <c r="E14" s="319"/>
      <c r="F14" s="254"/>
    </row>
    <row r="15" spans="1:6" s="10" customFormat="1" ht="15" customHeight="1">
      <c r="A15" s="252">
        <v>5</v>
      </c>
      <c r="B15" s="255" t="s">
        <v>145</v>
      </c>
      <c r="C15" s="236" t="s">
        <v>122</v>
      </c>
      <c r="D15" s="236">
        <v>10</v>
      </c>
      <c r="E15" s="319"/>
      <c r="F15" s="238"/>
    </row>
    <row r="16" spans="1:6" s="10" customFormat="1" ht="15" customHeight="1">
      <c r="A16" s="252">
        <v>6</v>
      </c>
      <c r="B16" s="237" t="s">
        <v>146</v>
      </c>
      <c r="C16" s="236" t="s">
        <v>101</v>
      </c>
      <c r="D16" s="236">
        <v>20</v>
      </c>
      <c r="E16" s="319"/>
      <c r="F16" s="238"/>
    </row>
    <row r="17" spans="1:6" s="10" customFormat="1" ht="15" customHeight="1">
      <c r="A17" s="252">
        <v>7</v>
      </c>
      <c r="B17" s="237" t="s">
        <v>147</v>
      </c>
      <c r="C17" s="236" t="s">
        <v>101</v>
      </c>
      <c r="D17" s="236">
        <v>90</v>
      </c>
      <c r="E17" s="319"/>
      <c r="F17" s="238"/>
    </row>
    <row r="18" spans="1:6" s="10" customFormat="1" ht="15" customHeight="1">
      <c r="A18" s="252">
        <v>8</v>
      </c>
      <c r="B18" s="237" t="s">
        <v>148</v>
      </c>
      <c r="C18" s="236" t="s">
        <v>101</v>
      </c>
      <c r="D18" s="236">
        <v>90</v>
      </c>
      <c r="E18" s="319"/>
      <c r="F18" s="238"/>
    </row>
    <row r="19" spans="1:6" s="10" customFormat="1" ht="15" customHeight="1">
      <c r="A19" s="252">
        <v>9</v>
      </c>
      <c r="B19" s="237" t="s">
        <v>602</v>
      </c>
      <c r="C19" s="236" t="s">
        <v>101</v>
      </c>
      <c r="D19" s="236">
        <v>2</v>
      </c>
      <c r="E19" s="319"/>
      <c r="F19" s="238"/>
    </row>
    <row r="20" spans="1:6" s="10" customFormat="1" ht="15" customHeight="1">
      <c r="A20" s="252">
        <v>10</v>
      </c>
      <c r="B20" s="237" t="s">
        <v>149</v>
      </c>
      <c r="C20" s="236" t="s">
        <v>101</v>
      </c>
      <c r="D20" s="236">
        <v>4</v>
      </c>
      <c r="E20" s="319"/>
      <c r="F20" s="238"/>
    </row>
    <row r="21" spans="1:6" s="10" customFormat="1" ht="15" customHeight="1">
      <c r="A21" s="252">
        <v>11</v>
      </c>
      <c r="B21" s="241" t="s">
        <v>150</v>
      </c>
      <c r="C21" s="236" t="s">
        <v>143</v>
      </c>
      <c r="D21" s="236">
        <v>6</v>
      </c>
      <c r="E21" s="319"/>
      <c r="F21" s="238"/>
    </row>
    <row r="22" spans="1:6" s="10" customFormat="1" ht="15" customHeight="1">
      <c r="A22" s="252">
        <v>12</v>
      </c>
      <c r="B22" s="256" t="s">
        <v>151</v>
      </c>
      <c r="C22" s="236" t="s">
        <v>101</v>
      </c>
      <c r="D22" s="236">
        <v>90</v>
      </c>
      <c r="E22" s="319"/>
      <c r="F22" s="238"/>
    </row>
    <row r="23" spans="1:6" s="10" customFormat="1" ht="15" customHeight="1">
      <c r="A23" s="252">
        <v>13</v>
      </c>
      <c r="B23" s="256" t="s">
        <v>152</v>
      </c>
      <c r="C23" s="236" t="s">
        <v>122</v>
      </c>
      <c r="D23" s="236">
        <v>2</v>
      </c>
      <c r="E23" s="319"/>
      <c r="F23" s="238"/>
    </row>
    <row r="24" spans="1:6" s="10" customFormat="1" ht="15" customHeight="1">
      <c r="A24" s="252">
        <v>14</v>
      </c>
      <c r="B24" s="256" t="s">
        <v>603</v>
      </c>
      <c r="C24" s="236" t="s">
        <v>101</v>
      </c>
      <c r="D24" s="236">
        <v>6</v>
      </c>
      <c r="E24" s="319"/>
      <c r="F24" s="238"/>
    </row>
    <row r="25" spans="1:6" s="10" customFormat="1" ht="15" customHeight="1">
      <c r="A25" s="252">
        <v>15</v>
      </c>
      <c r="B25" s="256" t="s">
        <v>153</v>
      </c>
      <c r="C25" s="236" t="s">
        <v>101</v>
      </c>
      <c r="D25" s="236">
        <v>6</v>
      </c>
      <c r="E25" s="319"/>
      <c r="F25" s="238"/>
    </row>
    <row r="26" spans="1:6" s="10" customFormat="1" ht="15" customHeight="1">
      <c r="A26" s="252">
        <v>16</v>
      </c>
      <c r="B26" s="256" t="s">
        <v>537</v>
      </c>
      <c r="C26" s="236" t="s">
        <v>143</v>
      </c>
      <c r="D26" s="236">
        <v>10</v>
      </c>
      <c r="E26" s="319"/>
      <c r="F26" s="238"/>
    </row>
    <row r="27" spans="1:6" s="10" customFormat="1" ht="15" customHeight="1">
      <c r="A27" s="252">
        <v>17</v>
      </c>
      <c r="B27" s="256" t="s">
        <v>154</v>
      </c>
      <c r="C27" s="236" t="s">
        <v>143</v>
      </c>
      <c r="D27" s="236">
        <v>50</v>
      </c>
      <c r="E27" s="319"/>
      <c r="F27" s="238"/>
    </row>
    <row r="28" spans="1:6" s="10" customFormat="1" ht="15" customHeight="1">
      <c r="A28" s="252">
        <v>18</v>
      </c>
      <c r="B28" s="256" t="s">
        <v>155</v>
      </c>
      <c r="C28" s="236" t="s">
        <v>143</v>
      </c>
      <c r="D28" s="236">
        <v>9</v>
      </c>
      <c r="E28" s="319"/>
      <c r="F28" s="238"/>
    </row>
    <row r="29" spans="1:6" s="10" customFormat="1" ht="15" customHeight="1">
      <c r="A29" s="252">
        <v>19</v>
      </c>
      <c r="B29" s="256" t="s">
        <v>156</v>
      </c>
      <c r="C29" s="236" t="s">
        <v>143</v>
      </c>
      <c r="D29" s="236">
        <v>6</v>
      </c>
      <c r="E29" s="319"/>
      <c r="F29" s="238"/>
    </row>
    <row r="30" spans="1:6" s="10" customFormat="1" ht="15" customHeight="1">
      <c r="A30" s="252">
        <v>20</v>
      </c>
      <c r="B30" s="255" t="s">
        <v>157</v>
      </c>
      <c r="C30" s="236" t="s">
        <v>143</v>
      </c>
      <c r="D30" s="236">
        <v>9</v>
      </c>
      <c r="E30" s="319"/>
      <c r="F30" s="238"/>
    </row>
    <row r="31" spans="1:6" s="10" customFormat="1" ht="15" customHeight="1">
      <c r="A31" s="252">
        <v>21</v>
      </c>
      <c r="B31" s="256" t="s">
        <v>158</v>
      </c>
      <c r="C31" s="236" t="s">
        <v>143</v>
      </c>
      <c r="D31" s="236">
        <v>9</v>
      </c>
      <c r="E31" s="319"/>
      <c r="F31" s="238"/>
    </row>
    <row r="32" spans="1:6" s="10" customFormat="1" ht="15" customHeight="1">
      <c r="A32" s="252">
        <v>22</v>
      </c>
      <c r="B32" s="255" t="s">
        <v>159</v>
      </c>
      <c r="C32" s="236" t="s">
        <v>101</v>
      </c>
      <c r="D32" s="236">
        <v>20</v>
      </c>
      <c r="E32" s="319"/>
      <c r="F32" s="238"/>
    </row>
    <row r="33" spans="1:6" s="10" customFormat="1" ht="15" customHeight="1">
      <c r="A33" s="252">
        <v>23</v>
      </c>
      <c r="B33" s="256" t="s">
        <v>611</v>
      </c>
      <c r="C33" s="236" t="s">
        <v>101</v>
      </c>
      <c r="D33" s="236">
        <v>45</v>
      </c>
      <c r="E33" s="319"/>
      <c r="F33" s="238"/>
    </row>
    <row r="34" spans="1:6" s="10" customFormat="1" ht="15" customHeight="1">
      <c r="A34" s="252">
        <v>24</v>
      </c>
      <c r="B34" s="256" t="s">
        <v>160</v>
      </c>
      <c r="C34" s="236" t="s">
        <v>101</v>
      </c>
      <c r="D34" s="236">
        <v>10</v>
      </c>
      <c r="E34" s="319"/>
      <c r="F34" s="238"/>
    </row>
    <row r="35" spans="1:6" s="10" customFormat="1" ht="15" customHeight="1">
      <c r="A35" s="252">
        <v>25</v>
      </c>
      <c r="B35" s="255" t="s">
        <v>161</v>
      </c>
      <c r="C35" s="236" t="s">
        <v>143</v>
      </c>
      <c r="D35" s="236">
        <v>10</v>
      </c>
      <c r="E35" s="319"/>
      <c r="F35" s="238"/>
    </row>
    <row r="36" spans="1:6" s="10" customFormat="1" ht="15" customHeight="1">
      <c r="A36" s="252">
        <v>26</v>
      </c>
      <c r="B36" s="255" t="s">
        <v>604</v>
      </c>
      <c r="C36" s="236" t="s">
        <v>122</v>
      </c>
      <c r="D36" s="236">
        <v>12</v>
      </c>
      <c r="E36" s="319"/>
      <c r="F36" s="238"/>
    </row>
    <row r="37" spans="1:6" s="10" customFormat="1" ht="15" customHeight="1">
      <c r="A37" s="252">
        <v>27</v>
      </c>
      <c r="B37" s="256" t="s">
        <v>162</v>
      </c>
      <c r="C37" s="236" t="s">
        <v>143</v>
      </c>
      <c r="D37" s="236">
        <v>6</v>
      </c>
      <c r="E37" s="319"/>
      <c r="F37" s="238"/>
    </row>
    <row r="38" spans="1:6" s="10" customFormat="1" ht="15" customHeight="1">
      <c r="A38" s="252">
        <v>28</v>
      </c>
      <c r="B38" s="256" t="s">
        <v>163</v>
      </c>
      <c r="C38" s="236" t="s">
        <v>143</v>
      </c>
      <c r="D38" s="236">
        <v>6</v>
      </c>
      <c r="E38" s="319"/>
      <c r="F38" s="238"/>
    </row>
    <row r="39" spans="1:6" s="10" customFormat="1" ht="15" customHeight="1">
      <c r="A39" s="252">
        <v>29</v>
      </c>
      <c r="B39" s="256" t="s">
        <v>164</v>
      </c>
      <c r="C39" s="236" t="s">
        <v>101</v>
      </c>
      <c r="D39" s="236">
        <v>6</v>
      </c>
      <c r="E39" s="319"/>
      <c r="F39" s="238"/>
    </row>
    <row r="40" spans="1:6" s="10" customFormat="1" ht="15" customHeight="1">
      <c r="A40" s="252">
        <v>30</v>
      </c>
      <c r="B40" s="256" t="s">
        <v>165</v>
      </c>
      <c r="C40" s="236" t="s">
        <v>101</v>
      </c>
      <c r="D40" s="236">
        <v>45</v>
      </c>
      <c r="E40" s="319"/>
      <c r="F40" s="238"/>
    </row>
    <row r="41" spans="1:6" s="10" customFormat="1" ht="15" customHeight="1">
      <c r="A41" s="252">
        <v>31</v>
      </c>
      <c r="B41" s="256" t="s">
        <v>166</v>
      </c>
      <c r="C41" s="236" t="s">
        <v>101</v>
      </c>
      <c r="D41" s="236">
        <v>9</v>
      </c>
      <c r="E41" s="319"/>
      <c r="F41" s="238"/>
    </row>
    <row r="42" spans="1:6" s="10" customFormat="1" ht="15" customHeight="1">
      <c r="A42" s="252">
        <v>32</v>
      </c>
      <c r="B42" s="256" t="s">
        <v>605</v>
      </c>
      <c r="C42" s="236" t="s">
        <v>122</v>
      </c>
      <c r="D42" s="236">
        <v>9</v>
      </c>
      <c r="E42" s="319"/>
      <c r="F42" s="238"/>
    </row>
    <row r="43" spans="1:6" s="10" customFormat="1" ht="15" customHeight="1">
      <c r="A43" s="252">
        <v>33</v>
      </c>
      <c r="B43" s="256" t="s">
        <v>606</v>
      </c>
      <c r="C43" s="236" t="s">
        <v>122</v>
      </c>
      <c r="D43" s="236">
        <v>9</v>
      </c>
      <c r="E43" s="319"/>
      <c r="F43" s="238"/>
    </row>
    <row r="44" spans="1:6" s="10" customFormat="1" ht="15" customHeight="1">
      <c r="A44" s="252">
        <v>34</v>
      </c>
      <c r="B44" s="256" t="s">
        <v>607</v>
      </c>
      <c r="C44" s="236" t="s">
        <v>122</v>
      </c>
      <c r="D44" s="236">
        <v>9</v>
      </c>
      <c r="E44" s="319"/>
      <c r="F44" s="238"/>
    </row>
    <row r="45" spans="1:6" s="10" customFormat="1" ht="15" customHeight="1">
      <c r="A45" s="252">
        <v>35</v>
      </c>
      <c r="B45" s="255" t="s">
        <v>167</v>
      </c>
      <c r="C45" s="236" t="s">
        <v>122</v>
      </c>
      <c r="D45" s="236">
        <v>9</v>
      </c>
      <c r="E45" s="319"/>
      <c r="F45" s="238"/>
    </row>
    <row r="46" spans="1:6" s="10" customFormat="1" ht="15" customHeight="1">
      <c r="A46" s="252">
        <v>36</v>
      </c>
      <c r="B46" s="241" t="s">
        <v>168</v>
      </c>
      <c r="C46" s="236" t="s">
        <v>101</v>
      </c>
      <c r="D46" s="236">
        <v>18</v>
      </c>
      <c r="E46" s="319"/>
      <c r="F46" s="238"/>
    </row>
    <row r="47" spans="1:6" s="10" customFormat="1" ht="15" customHeight="1">
      <c r="A47" s="252">
        <v>37</v>
      </c>
      <c r="B47" s="241" t="s">
        <v>169</v>
      </c>
      <c r="C47" s="236" t="s">
        <v>101</v>
      </c>
      <c r="D47" s="236">
        <v>3</v>
      </c>
      <c r="E47" s="319"/>
      <c r="F47" s="238"/>
    </row>
    <row r="48" spans="1:6" s="10" customFormat="1" ht="15" customHeight="1">
      <c r="A48" s="252">
        <v>38</v>
      </c>
      <c r="B48" s="241" t="s">
        <v>170</v>
      </c>
      <c r="C48" s="236" t="s">
        <v>143</v>
      </c>
      <c r="D48" s="236">
        <v>50</v>
      </c>
      <c r="E48" s="319"/>
      <c r="F48" s="238"/>
    </row>
    <row r="49" spans="1:6" s="10" customFormat="1" ht="15" customHeight="1">
      <c r="A49" s="252">
        <v>39</v>
      </c>
      <c r="B49" s="241" t="s">
        <v>171</v>
      </c>
      <c r="C49" s="236" t="s">
        <v>143</v>
      </c>
      <c r="D49" s="236">
        <v>50</v>
      </c>
      <c r="E49" s="319"/>
      <c r="F49" s="238"/>
    </row>
    <row r="50" spans="1:6" s="10" customFormat="1" ht="15" customHeight="1">
      <c r="A50" s="252">
        <v>40</v>
      </c>
      <c r="B50" s="241" t="s">
        <v>172</v>
      </c>
      <c r="C50" s="236" t="s">
        <v>101</v>
      </c>
      <c r="D50" s="236">
        <v>45</v>
      </c>
      <c r="E50" s="319"/>
      <c r="F50" s="238"/>
    </row>
    <row r="51" spans="1:6" s="10" customFormat="1" ht="15" customHeight="1">
      <c r="A51" s="252">
        <v>41</v>
      </c>
      <c r="B51" s="241" t="s">
        <v>609</v>
      </c>
      <c r="C51" s="236" t="s">
        <v>101</v>
      </c>
      <c r="D51" s="236">
        <v>45</v>
      </c>
      <c r="E51" s="319"/>
      <c r="F51" s="238"/>
    </row>
    <row r="52" spans="1:6" s="10" customFormat="1" ht="15" customHeight="1">
      <c r="A52" s="252">
        <v>42</v>
      </c>
      <c r="B52" s="241" t="s">
        <v>173</v>
      </c>
      <c r="C52" s="236" t="s">
        <v>143</v>
      </c>
      <c r="D52" s="236">
        <v>8</v>
      </c>
      <c r="E52" s="319"/>
      <c r="F52" s="238"/>
    </row>
    <row r="53" spans="1:6" s="10" customFormat="1" ht="15" customHeight="1">
      <c r="A53" s="252">
        <v>43</v>
      </c>
      <c r="B53" s="255" t="s">
        <v>608</v>
      </c>
      <c r="C53" s="236" t="s">
        <v>101</v>
      </c>
      <c r="D53" s="236">
        <v>9</v>
      </c>
      <c r="E53" s="319"/>
      <c r="F53" s="238"/>
    </row>
    <row r="54" spans="1:6" s="10" customFormat="1" ht="15" customHeight="1">
      <c r="A54" s="252">
        <v>44</v>
      </c>
      <c r="B54" s="241" t="s">
        <v>174</v>
      </c>
      <c r="C54" s="236" t="s">
        <v>101</v>
      </c>
      <c r="D54" s="236">
        <v>6</v>
      </c>
      <c r="E54" s="319"/>
      <c r="F54" s="238"/>
    </row>
    <row r="55" spans="1:6" s="10" customFormat="1" ht="15" customHeight="1">
      <c r="A55" s="252">
        <v>45</v>
      </c>
      <c r="B55" s="255" t="s">
        <v>175</v>
      </c>
      <c r="C55" s="236" t="s">
        <v>101</v>
      </c>
      <c r="D55" s="236">
        <v>45</v>
      </c>
      <c r="E55" s="319"/>
      <c r="F55" s="238"/>
    </row>
    <row r="56" spans="1:6" s="10" customFormat="1" ht="15" customHeight="1">
      <c r="A56" s="252">
        <v>46</v>
      </c>
      <c r="B56" s="255" t="s">
        <v>176</v>
      </c>
      <c r="C56" s="236" t="s">
        <v>122</v>
      </c>
      <c r="D56" s="236">
        <v>6</v>
      </c>
      <c r="E56" s="319"/>
      <c r="F56" s="238"/>
    </row>
    <row r="57" spans="1:6" s="10" customFormat="1" ht="15" customHeight="1">
      <c r="A57" s="252">
        <v>47</v>
      </c>
      <c r="B57" s="255" t="s">
        <v>177</v>
      </c>
      <c r="C57" s="236" t="s">
        <v>101</v>
      </c>
      <c r="D57" s="236">
        <v>8</v>
      </c>
      <c r="E57" s="319"/>
      <c r="F57" s="238"/>
    </row>
    <row r="58" spans="1:6" s="10" customFormat="1" ht="15" customHeight="1">
      <c r="A58" s="252">
        <v>48</v>
      </c>
      <c r="B58" s="256" t="s">
        <v>178</v>
      </c>
      <c r="C58" s="236" t="s">
        <v>143</v>
      </c>
      <c r="D58" s="236">
        <v>50</v>
      </c>
      <c r="E58" s="319"/>
      <c r="F58" s="238"/>
    </row>
    <row r="59" spans="1:6" s="10" customFormat="1" ht="15" customHeight="1">
      <c r="A59" s="252">
        <v>49</v>
      </c>
      <c r="B59" s="255" t="s">
        <v>179</v>
      </c>
      <c r="C59" s="236" t="s">
        <v>101</v>
      </c>
      <c r="D59" s="236">
        <v>120</v>
      </c>
      <c r="E59" s="319"/>
      <c r="F59" s="238"/>
    </row>
    <row r="60" spans="1:6" s="10" customFormat="1" ht="15" customHeight="1">
      <c r="A60" s="252">
        <v>50</v>
      </c>
      <c r="B60" s="255" t="s">
        <v>180</v>
      </c>
      <c r="C60" s="236" t="s">
        <v>101</v>
      </c>
      <c r="D60" s="236">
        <v>30</v>
      </c>
      <c r="E60" s="319"/>
      <c r="F60" s="238"/>
    </row>
    <row r="61" spans="1:6" s="10" customFormat="1" ht="15" customHeight="1">
      <c r="A61" s="252">
        <v>51</v>
      </c>
      <c r="B61" s="255" t="s">
        <v>181</v>
      </c>
      <c r="C61" s="236" t="s">
        <v>122</v>
      </c>
      <c r="D61" s="236">
        <v>2</v>
      </c>
      <c r="E61" s="319"/>
      <c r="F61" s="238"/>
    </row>
    <row r="62" spans="1:6" s="10" customFormat="1" ht="15" customHeight="1">
      <c r="A62" s="252">
        <v>52</v>
      </c>
      <c r="B62" s="256" t="s">
        <v>182</v>
      </c>
      <c r="C62" s="236" t="s">
        <v>122</v>
      </c>
      <c r="D62" s="236">
        <v>6</v>
      </c>
      <c r="E62" s="319"/>
      <c r="F62" s="238"/>
    </row>
    <row r="63" spans="1:6" s="10" customFormat="1" ht="15" customHeight="1">
      <c r="A63" s="252">
        <v>53</v>
      </c>
      <c r="B63" s="256" t="s">
        <v>183</v>
      </c>
      <c r="C63" s="236" t="s">
        <v>143</v>
      </c>
      <c r="D63" s="236">
        <v>5</v>
      </c>
      <c r="E63" s="319"/>
      <c r="F63" s="238"/>
    </row>
    <row r="64" spans="1:6" s="10" customFormat="1" ht="15" customHeight="1">
      <c r="A64" s="252">
        <v>54</v>
      </c>
      <c r="B64" s="256" t="s">
        <v>184</v>
      </c>
      <c r="C64" s="236" t="s">
        <v>101</v>
      </c>
      <c r="D64" s="236">
        <v>10</v>
      </c>
      <c r="E64" s="319"/>
      <c r="F64" s="238"/>
    </row>
    <row r="65" spans="1:6" s="10" customFormat="1" ht="15" customHeight="1">
      <c r="A65" s="252">
        <v>55</v>
      </c>
      <c r="B65" s="255" t="s">
        <v>185</v>
      </c>
      <c r="C65" s="236" t="s">
        <v>143</v>
      </c>
      <c r="D65" s="236">
        <v>5</v>
      </c>
      <c r="E65" s="319"/>
      <c r="F65" s="238"/>
    </row>
    <row r="66" spans="1:6" s="10" customFormat="1" ht="15" customHeight="1">
      <c r="A66" s="252">
        <v>56</v>
      </c>
      <c r="B66" s="256" t="s">
        <v>186</v>
      </c>
      <c r="C66" s="236" t="s">
        <v>101</v>
      </c>
      <c r="D66" s="236">
        <v>3</v>
      </c>
      <c r="E66" s="319"/>
      <c r="F66" s="238"/>
    </row>
    <row r="67" spans="1:6" s="10" customFormat="1" ht="15" customHeight="1">
      <c r="A67" s="252">
        <v>57</v>
      </c>
      <c r="B67" s="256" t="s">
        <v>187</v>
      </c>
      <c r="C67" s="236" t="s">
        <v>101</v>
      </c>
      <c r="D67" s="236">
        <v>12</v>
      </c>
      <c r="E67" s="319"/>
      <c r="F67" s="238"/>
    </row>
    <row r="68" spans="1:6" s="10" customFormat="1" ht="15" customHeight="1">
      <c r="A68" s="252">
        <v>58</v>
      </c>
      <c r="B68" s="255" t="s">
        <v>188</v>
      </c>
      <c r="C68" s="236" t="s">
        <v>143</v>
      </c>
      <c r="D68" s="236">
        <v>30</v>
      </c>
      <c r="E68" s="319"/>
      <c r="F68" s="238"/>
    </row>
    <row r="69" spans="1:6" s="10" customFormat="1" ht="15" customHeight="1">
      <c r="A69" s="252">
        <v>59</v>
      </c>
      <c r="B69" s="256" t="s">
        <v>189</v>
      </c>
      <c r="C69" s="236" t="s">
        <v>143</v>
      </c>
      <c r="D69" s="236">
        <v>5</v>
      </c>
      <c r="E69" s="319"/>
      <c r="F69" s="238"/>
    </row>
    <row r="70" spans="1:6" s="10" customFormat="1" ht="15" customHeight="1">
      <c r="A70" s="252">
        <v>60</v>
      </c>
      <c r="B70" s="256" t="s">
        <v>190</v>
      </c>
      <c r="C70" s="236" t="s">
        <v>143</v>
      </c>
      <c r="D70" s="236">
        <v>6</v>
      </c>
      <c r="E70" s="319"/>
      <c r="F70" s="238"/>
    </row>
    <row r="71" spans="1:6" s="10" customFormat="1" ht="15" customHeight="1">
      <c r="A71" s="252">
        <v>61</v>
      </c>
      <c r="B71" s="255" t="s">
        <v>191</v>
      </c>
      <c r="C71" s="236" t="s">
        <v>143</v>
      </c>
      <c r="D71" s="236">
        <v>5</v>
      </c>
      <c r="E71" s="319"/>
      <c r="F71" s="238"/>
    </row>
    <row r="72" spans="1:6" s="10" customFormat="1" ht="15" customHeight="1">
      <c r="A72" s="252">
        <v>62</v>
      </c>
      <c r="B72" s="255" t="s">
        <v>192</v>
      </c>
      <c r="C72" s="236" t="s">
        <v>101</v>
      </c>
      <c r="D72" s="236">
        <v>18</v>
      </c>
      <c r="E72" s="319"/>
      <c r="F72" s="238"/>
    </row>
    <row r="73" spans="1:6" s="10" customFormat="1" ht="15" customHeight="1">
      <c r="A73" s="252">
        <v>63</v>
      </c>
      <c r="B73" s="255" t="s">
        <v>193</v>
      </c>
      <c r="C73" s="236" t="s">
        <v>101</v>
      </c>
      <c r="D73" s="236">
        <v>35</v>
      </c>
      <c r="E73" s="319"/>
      <c r="F73" s="238"/>
    </row>
    <row r="74" spans="1:6" s="10" customFormat="1" ht="15" customHeight="1">
      <c r="A74" s="252">
        <v>64</v>
      </c>
      <c r="B74" s="256" t="s">
        <v>194</v>
      </c>
      <c r="C74" s="236" t="s">
        <v>101</v>
      </c>
      <c r="D74" s="236">
        <v>6</v>
      </c>
      <c r="E74" s="319"/>
      <c r="F74" s="238"/>
    </row>
    <row r="75" spans="1:6" s="10" customFormat="1" ht="15" customHeight="1">
      <c r="A75" s="252">
        <v>65</v>
      </c>
      <c r="B75" s="255" t="s">
        <v>195</v>
      </c>
      <c r="C75" s="236" t="s">
        <v>101</v>
      </c>
      <c r="D75" s="236">
        <v>9</v>
      </c>
      <c r="E75" s="319"/>
      <c r="F75" s="238"/>
    </row>
    <row r="76" spans="1:6" s="10" customFormat="1" ht="15" customHeight="1">
      <c r="A76" s="252">
        <v>66</v>
      </c>
      <c r="B76" s="255" t="s">
        <v>196</v>
      </c>
      <c r="C76" s="236" t="s">
        <v>122</v>
      </c>
      <c r="D76" s="236">
        <v>5</v>
      </c>
      <c r="E76" s="319"/>
      <c r="F76" s="238"/>
    </row>
    <row r="77" spans="1:6" s="10" customFormat="1" ht="15" customHeight="1">
      <c r="A77" s="252">
        <v>67</v>
      </c>
      <c r="B77" s="256" t="s">
        <v>197</v>
      </c>
      <c r="C77" s="236" t="s">
        <v>101</v>
      </c>
      <c r="D77" s="236">
        <v>8</v>
      </c>
      <c r="E77" s="319"/>
      <c r="F77" s="238"/>
    </row>
    <row r="78" spans="1:6" s="10" customFormat="1" ht="15" customHeight="1">
      <c r="A78" s="252">
        <v>68</v>
      </c>
      <c r="B78" s="241" t="s">
        <v>198</v>
      </c>
      <c r="C78" s="236" t="s">
        <v>101</v>
      </c>
      <c r="D78" s="236">
        <v>9</v>
      </c>
      <c r="E78" s="319"/>
      <c r="F78" s="238"/>
    </row>
    <row r="79" spans="1:6" s="10" customFormat="1" ht="15" customHeight="1">
      <c r="A79" s="252">
        <v>69</v>
      </c>
      <c r="B79" s="241" t="s">
        <v>199</v>
      </c>
      <c r="C79" s="236" t="s">
        <v>101</v>
      </c>
      <c r="D79" s="236">
        <v>6</v>
      </c>
      <c r="E79" s="319"/>
      <c r="F79" s="238"/>
    </row>
    <row r="80" spans="1:6" s="10" customFormat="1" ht="15" customHeight="1">
      <c r="A80" s="252">
        <v>70</v>
      </c>
      <c r="B80" s="237" t="s">
        <v>200</v>
      </c>
      <c r="C80" s="236" t="s">
        <v>101</v>
      </c>
      <c r="D80" s="236">
        <v>45</v>
      </c>
      <c r="E80" s="319"/>
      <c r="F80" s="238"/>
    </row>
    <row r="81" spans="1:6" s="10" customFormat="1" ht="15" customHeight="1">
      <c r="A81" s="252">
        <v>71</v>
      </c>
      <c r="B81" s="237" t="s">
        <v>610</v>
      </c>
      <c r="C81" s="236" t="s">
        <v>143</v>
      </c>
      <c r="D81" s="236">
        <v>2</v>
      </c>
      <c r="E81" s="319"/>
      <c r="F81" s="238"/>
    </row>
    <row r="82" spans="1:6" s="10" customFormat="1" ht="15" customHeight="1">
      <c r="A82" s="501" t="s">
        <v>100</v>
      </c>
      <c r="B82" s="501"/>
      <c r="C82" s="501"/>
      <c r="D82" s="501"/>
      <c r="E82" s="501"/>
      <c r="F82" s="257"/>
    </row>
  </sheetData>
  <sheetProtection/>
  <mergeCells count="2">
    <mergeCell ref="A82:E82"/>
    <mergeCell ref="A7:F7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zoomScale="130" zoomScaleNormal="130" zoomScalePageLayoutView="0" workbookViewId="0" topLeftCell="A1">
      <selection activeCell="H20" sqref="H20"/>
    </sheetView>
  </sheetViews>
  <sheetFormatPr defaultColWidth="11.57421875" defaultRowHeight="15"/>
  <cols>
    <col min="1" max="1" width="11.57421875" style="0" customWidth="1"/>
    <col min="2" max="2" width="30.57421875" style="0" customWidth="1"/>
    <col min="3" max="3" width="11.57421875" style="0" customWidth="1"/>
    <col min="4" max="4" width="18.00390625" style="0" bestFit="1" customWidth="1"/>
    <col min="5" max="5" width="15.421875" style="0" bestFit="1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6" spans="1:6" s="1" customFormat="1" ht="15.75">
      <c r="A6" s="90"/>
      <c r="B6" s="90"/>
      <c r="C6" s="90"/>
      <c r="D6" s="90"/>
      <c r="E6" s="90"/>
      <c r="F6" s="90"/>
    </row>
    <row r="7" spans="1:6" s="1" customFormat="1" ht="15.75">
      <c r="A7" s="90"/>
      <c r="B7" s="90"/>
      <c r="C7" s="90"/>
      <c r="D7" s="90"/>
      <c r="E7" s="90"/>
      <c r="F7" s="90"/>
    </row>
    <row r="8" spans="1:5" ht="15.75">
      <c r="A8" s="502" t="s">
        <v>571</v>
      </c>
      <c r="B8" s="502"/>
      <c r="C8" s="502"/>
      <c r="D8" s="502"/>
      <c r="E8" s="502"/>
    </row>
    <row r="9" spans="1:5" ht="15">
      <c r="A9" s="35"/>
      <c r="B9" s="35"/>
      <c r="C9" s="35"/>
      <c r="D9" s="35"/>
      <c r="E9" s="35"/>
    </row>
    <row r="10" spans="1:5" ht="15.75">
      <c r="A10" s="119" t="s">
        <v>98</v>
      </c>
      <c r="B10" s="119" t="s">
        <v>94</v>
      </c>
      <c r="C10" s="119" t="s">
        <v>96</v>
      </c>
      <c r="D10" s="119" t="s">
        <v>87</v>
      </c>
      <c r="E10" s="119" t="s">
        <v>97</v>
      </c>
    </row>
    <row r="11" spans="1:7" ht="15.75">
      <c r="A11" s="110">
        <v>1</v>
      </c>
      <c r="B11" s="258" t="s">
        <v>201</v>
      </c>
      <c r="C11" s="259">
        <v>4500</v>
      </c>
      <c r="D11" s="260"/>
      <c r="E11" s="260"/>
      <c r="G11" s="200"/>
    </row>
    <row r="12" spans="1:5" ht="15.75">
      <c r="A12" s="503" t="s">
        <v>132</v>
      </c>
      <c r="B12" s="503"/>
      <c r="C12" s="503"/>
      <c r="D12" s="503"/>
      <c r="E12" s="261"/>
    </row>
    <row r="13" spans="1:5" ht="16.5">
      <c r="A13" s="205"/>
      <c r="B13" s="207"/>
      <c r="C13" s="10"/>
      <c r="D13" s="262" t="s">
        <v>532</v>
      </c>
      <c r="E13" s="263"/>
    </row>
    <row r="14" spans="1:6" ht="15.75">
      <c r="A14" s="90"/>
      <c r="B14" s="90"/>
      <c r="C14" s="90"/>
      <c r="D14" s="90"/>
      <c r="E14" s="197"/>
      <c r="F14" s="200"/>
    </row>
  </sheetData>
  <sheetProtection/>
  <mergeCells count="2">
    <mergeCell ref="A8:E8"/>
    <mergeCell ref="A12:D12"/>
  </mergeCells>
  <printOptions/>
  <pageMargins left="0.7874015748031497" right="0.4330708661417323" top="1.062992125984252" bottom="1.062992125984252" header="0.7874015748031497" footer="0.7874015748031497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63"/>
  <sheetViews>
    <sheetView zoomScale="130" zoomScaleNormal="130" zoomScalePageLayoutView="0" workbookViewId="0" topLeftCell="A52">
      <selection activeCell="J75" sqref="J75"/>
    </sheetView>
  </sheetViews>
  <sheetFormatPr defaultColWidth="9.140625" defaultRowHeight="15"/>
  <cols>
    <col min="1" max="1" width="3.421875" style="1" customWidth="1"/>
    <col min="2" max="2" width="33.57421875" style="1" customWidth="1"/>
    <col min="3" max="3" width="9.00390625" style="1" customWidth="1"/>
    <col min="4" max="4" width="7.57421875" style="1" customWidth="1"/>
    <col min="5" max="5" width="16.57421875" style="36" bestFit="1" customWidth="1"/>
    <col min="6" max="6" width="19.8515625" style="36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6" spans="1:6" s="1" customFormat="1" ht="15.75">
      <c r="A6" s="90"/>
      <c r="B6" s="90"/>
      <c r="C6" s="90"/>
      <c r="D6" s="90"/>
      <c r="E6" s="90"/>
      <c r="F6" s="90"/>
    </row>
    <row r="7" spans="1:6" ht="16.5">
      <c r="A7" s="504" t="s">
        <v>536</v>
      </c>
      <c r="B7" s="504"/>
      <c r="C7" s="504"/>
      <c r="D7" s="504"/>
      <c r="E7" s="504"/>
      <c r="F7" s="504"/>
    </row>
    <row r="8" spans="1:6" ht="16.5">
      <c r="A8" s="264"/>
      <c r="B8" s="264"/>
      <c r="C8" s="264"/>
      <c r="D8" s="264"/>
      <c r="E8" s="265"/>
      <c r="F8" s="265"/>
    </row>
    <row r="9" spans="1:6" ht="16.5">
      <c r="A9" s="266" t="s">
        <v>98</v>
      </c>
      <c r="B9" s="266" t="s">
        <v>94</v>
      </c>
      <c r="C9" s="266" t="s">
        <v>95</v>
      </c>
      <c r="D9" s="266" t="s">
        <v>96</v>
      </c>
      <c r="E9" s="267" t="s">
        <v>87</v>
      </c>
      <c r="F9" s="267" t="s">
        <v>97</v>
      </c>
    </row>
    <row r="10" spans="1:6" ht="16.5">
      <c r="A10" s="268">
        <v>1</v>
      </c>
      <c r="B10" s="269" t="s">
        <v>202</v>
      </c>
      <c r="C10" s="270" t="s">
        <v>101</v>
      </c>
      <c r="D10" s="270">
        <v>120</v>
      </c>
      <c r="E10" s="271"/>
      <c r="F10" s="271"/>
    </row>
    <row r="11" spans="1:6" ht="15.75" customHeight="1">
      <c r="A11" s="268">
        <v>2</v>
      </c>
      <c r="B11" s="269" t="s">
        <v>624</v>
      </c>
      <c r="C11" s="268" t="s">
        <v>101</v>
      </c>
      <c r="D11" s="268">
        <v>108</v>
      </c>
      <c r="E11" s="272"/>
      <c r="F11" s="271"/>
    </row>
    <row r="12" spans="1:6" ht="15.75" customHeight="1">
      <c r="A12" s="268">
        <v>3</v>
      </c>
      <c r="B12" s="269" t="s">
        <v>203</v>
      </c>
      <c r="C12" s="268" t="s">
        <v>101</v>
      </c>
      <c r="D12" s="268">
        <v>180</v>
      </c>
      <c r="E12" s="272"/>
      <c r="F12" s="271"/>
    </row>
    <row r="13" spans="1:6" ht="15.75" customHeight="1">
      <c r="A13" s="268">
        <v>4</v>
      </c>
      <c r="B13" s="269" t="s">
        <v>625</v>
      </c>
      <c r="C13" s="268" t="s">
        <v>101</v>
      </c>
      <c r="D13" s="268">
        <v>15</v>
      </c>
      <c r="E13" s="272"/>
      <c r="F13" s="271"/>
    </row>
    <row r="14" spans="1:6" ht="32.25" customHeight="1">
      <c r="A14" s="268">
        <v>5</v>
      </c>
      <c r="B14" s="269" t="s">
        <v>204</v>
      </c>
      <c r="C14" s="268" t="s">
        <v>101</v>
      </c>
      <c r="D14" s="268">
        <v>6</v>
      </c>
      <c r="E14" s="272"/>
      <c r="F14" s="271"/>
    </row>
    <row r="15" spans="1:6" ht="15.75" customHeight="1">
      <c r="A15" s="268">
        <v>6</v>
      </c>
      <c r="B15" s="269" t="s">
        <v>205</v>
      </c>
      <c r="C15" s="268" t="s">
        <v>101</v>
      </c>
      <c r="D15" s="268">
        <v>12</v>
      </c>
      <c r="E15" s="272"/>
      <c r="F15" s="271"/>
    </row>
    <row r="16" spans="1:6" ht="15.75" customHeight="1">
      <c r="A16" s="268">
        <v>7</v>
      </c>
      <c r="B16" s="269" t="s">
        <v>206</v>
      </c>
      <c r="C16" s="268" t="s">
        <v>101</v>
      </c>
      <c r="D16" s="268">
        <v>15</v>
      </c>
      <c r="E16" s="272"/>
      <c r="F16" s="271"/>
    </row>
    <row r="17" spans="1:6" ht="15.75" customHeight="1">
      <c r="A17" s="268">
        <v>8</v>
      </c>
      <c r="B17" s="269" t="s">
        <v>208</v>
      </c>
      <c r="C17" s="268" t="s">
        <v>143</v>
      </c>
      <c r="D17" s="268">
        <v>10</v>
      </c>
      <c r="E17" s="272"/>
      <c r="F17" s="271"/>
    </row>
    <row r="18" spans="1:6" ht="15.75" customHeight="1">
      <c r="A18" s="268">
        <v>9</v>
      </c>
      <c r="B18" s="269" t="s">
        <v>209</v>
      </c>
      <c r="C18" s="268" t="s">
        <v>101</v>
      </c>
      <c r="D18" s="268">
        <v>3</v>
      </c>
      <c r="E18" s="272"/>
      <c r="F18" s="271"/>
    </row>
    <row r="19" spans="1:6" ht="15.75" customHeight="1">
      <c r="A19" s="268">
        <v>10</v>
      </c>
      <c r="B19" s="269" t="s">
        <v>210</v>
      </c>
      <c r="C19" s="268" t="s">
        <v>101</v>
      </c>
      <c r="D19" s="268">
        <v>6</v>
      </c>
      <c r="E19" s="272"/>
      <c r="F19" s="271"/>
    </row>
    <row r="20" spans="1:6" ht="15.75" customHeight="1">
      <c r="A20" s="268">
        <v>11</v>
      </c>
      <c r="B20" s="269" t="s">
        <v>211</v>
      </c>
      <c r="C20" s="268" t="s">
        <v>101</v>
      </c>
      <c r="D20" s="268">
        <v>24</v>
      </c>
      <c r="E20" s="272"/>
      <c r="F20" s="271"/>
    </row>
    <row r="21" spans="1:6" ht="15.75" customHeight="1" hidden="1">
      <c r="A21" s="268">
        <v>12</v>
      </c>
      <c r="B21" s="269" t="s">
        <v>212</v>
      </c>
      <c r="C21" s="268" t="s">
        <v>101</v>
      </c>
      <c r="D21" s="268">
        <v>0</v>
      </c>
      <c r="E21" s="272"/>
      <c r="F21" s="271"/>
    </row>
    <row r="22" spans="1:6" ht="15.75" customHeight="1">
      <c r="A22" s="268">
        <v>12</v>
      </c>
      <c r="B22" s="269" t="s">
        <v>213</v>
      </c>
      <c r="C22" s="268" t="s">
        <v>101</v>
      </c>
      <c r="D22" s="268">
        <v>108</v>
      </c>
      <c r="E22" s="272"/>
      <c r="F22" s="271"/>
    </row>
    <row r="23" spans="1:6" ht="15.75" customHeight="1">
      <c r="A23" s="268">
        <v>13</v>
      </c>
      <c r="B23" s="269" t="s">
        <v>626</v>
      </c>
      <c r="C23" s="268" t="s">
        <v>101</v>
      </c>
      <c r="D23" s="268">
        <v>18</v>
      </c>
      <c r="E23" s="272"/>
      <c r="F23" s="271"/>
    </row>
    <row r="24" spans="1:6" ht="15.75" customHeight="1">
      <c r="A24" s="268">
        <v>14</v>
      </c>
      <c r="B24" s="269" t="s">
        <v>214</v>
      </c>
      <c r="C24" s="268" t="s">
        <v>101</v>
      </c>
      <c r="D24" s="268">
        <v>15</v>
      </c>
      <c r="E24" s="272"/>
      <c r="F24" s="271"/>
    </row>
    <row r="25" spans="1:6" ht="15.75" customHeight="1">
      <c r="A25" s="268">
        <v>15</v>
      </c>
      <c r="B25" s="269" t="s">
        <v>215</v>
      </c>
      <c r="C25" s="268" t="s">
        <v>122</v>
      </c>
      <c r="D25" s="268">
        <v>10</v>
      </c>
      <c r="E25" s="272"/>
      <c r="F25" s="271"/>
    </row>
    <row r="26" spans="1:6" ht="15.75" customHeight="1">
      <c r="A26" s="268">
        <v>16</v>
      </c>
      <c r="B26" s="269" t="s">
        <v>216</v>
      </c>
      <c r="C26" s="268" t="s">
        <v>122</v>
      </c>
      <c r="D26" s="268">
        <v>90</v>
      </c>
      <c r="E26" s="272"/>
      <c r="F26" s="271"/>
    </row>
    <row r="27" spans="1:6" ht="15.75" customHeight="1">
      <c r="A27" s="268">
        <v>17</v>
      </c>
      <c r="B27" s="269" t="s">
        <v>217</v>
      </c>
      <c r="C27" s="268" t="s">
        <v>101</v>
      </c>
      <c r="D27" s="268">
        <v>60</v>
      </c>
      <c r="E27" s="272"/>
      <c r="F27" s="271"/>
    </row>
    <row r="28" spans="1:6" ht="15.75" customHeight="1">
      <c r="A28" s="268">
        <v>18</v>
      </c>
      <c r="B28" s="269" t="s">
        <v>221</v>
      </c>
      <c r="C28" s="268" t="s">
        <v>101</v>
      </c>
      <c r="D28" s="268">
        <v>50</v>
      </c>
      <c r="E28" s="272"/>
      <c r="F28" s="271"/>
    </row>
    <row r="29" spans="1:6" ht="15.75" customHeight="1">
      <c r="A29" s="268">
        <v>19</v>
      </c>
      <c r="B29" s="269" t="s">
        <v>222</v>
      </c>
      <c r="C29" s="268" t="s">
        <v>101</v>
      </c>
      <c r="D29" s="268">
        <v>90</v>
      </c>
      <c r="E29" s="272"/>
      <c r="F29" s="271"/>
    </row>
    <row r="30" spans="1:6" ht="15.75" customHeight="1">
      <c r="A30" s="268">
        <v>20</v>
      </c>
      <c r="B30" s="269" t="s">
        <v>223</v>
      </c>
      <c r="C30" s="268" t="s">
        <v>101</v>
      </c>
      <c r="D30" s="268">
        <v>90</v>
      </c>
      <c r="E30" s="272"/>
      <c r="F30" s="271"/>
    </row>
    <row r="31" spans="1:6" ht="15.75" customHeight="1">
      <c r="A31" s="268">
        <v>21</v>
      </c>
      <c r="B31" s="269" t="s">
        <v>224</v>
      </c>
      <c r="C31" s="268" t="s">
        <v>101</v>
      </c>
      <c r="D31" s="268">
        <v>30</v>
      </c>
      <c r="E31" s="272"/>
      <c r="F31" s="271"/>
    </row>
    <row r="32" spans="1:6" ht="15.75" customHeight="1">
      <c r="A32" s="268">
        <v>22</v>
      </c>
      <c r="B32" s="269" t="s">
        <v>225</v>
      </c>
      <c r="C32" s="268" t="s">
        <v>101</v>
      </c>
      <c r="D32" s="268">
        <v>150</v>
      </c>
      <c r="E32" s="272"/>
      <c r="F32" s="271"/>
    </row>
    <row r="33" spans="1:6" ht="15.75" customHeight="1">
      <c r="A33" s="268">
        <v>23</v>
      </c>
      <c r="B33" s="269" t="s">
        <v>226</v>
      </c>
      <c r="C33" s="268" t="s">
        <v>101</v>
      </c>
      <c r="D33" s="268">
        <v>9</v>
      </c>
      <c r="E33" s="272"/>
      <c r="F33" s="271"/>
    </row>
    <row r="34" spans="1:6" ht="15.75" customHeight="1">
      <c r="A34" s="268">
        <v>24</v>
      </c>
      <c r="B34" s="269" t="s">
        <v>227</v>
      </c>
      <c r="C34" s="268" t="s">
        <v>101</v>
      </c>
      <c r="D34" s="268">
        <v>120</v>
      </c>
      <c r="E34" s="272"/>
      <c r="F34" s="271"/>
    </row>
    <row r="35" spans="1:6" ht="15.75" customHeight="1">
      <c r="A35" s="268">
        <v>25</v>
      </c>
      <c r="B35" s="269" t="s">
        <v>228</v>
      </c>
      <c r="C35" s="268" t="s">
        <v>101</v>
      </c>
      <c r="D35" s="268">
        <v>90</v>
      </c>
      <c r="E35" s="272"/>
      <c r="F35" s="271"/>
    </row>
    <row r="36" spans="1:6" ht="15.75" customHeight="1">
      <c r="A36" s="268">
        <v>26</v>
      </c>
      <c r="B36" s="269" t="s">
        <v>229</v>
      </c>
      <c r="C36" s="268" t="s">
        <v>122</v>
      </c>
      <c r="D36" s="268">
        <v>15</v>
      </c>
      <c r="E36" s="272"/>
      <c r="F36" s="271"/>
    </row>
    <row r="37" spans="1:6" ht="15.75" customHeight="1">
      <c r="A37" s="268">
        <v>27</v>
      </c>
      <c r="B37" s="269" t="s">
        <v>230</v>
      </c>
      <c r="C37" s="268" t="s">
        <v>120</v>
      </c>
      <c r="D37" s="268">
        <v>30</v>
      </c>
      <c r="E37" s="272"/>
      <c r="F37" s="271"/>
    </row>
    <row r="38" spans="1:6" ht="33">
      <c r="A38" s="268">
        <v>28</v>
      </c>
      <c r="B38" s="269" t="s">
        <v>231</v>
      </c>
      <c r="C38" s="268" t="s">
        <v>120</v>
      </c>
      <c r="D38" s="268">
        <v>30</v>
      </c>
      <c r="E38" s="272"/>
      <c r="F38" s="271"/>
    </row>
    <row r="39" spans="1:6" ht="15.75" customHeight="1">
      <c r="A39" s="268">
        <v>29</v>
      </c>
      <c r="B39" s="269" t="s">
        <v>232</v>
      </c>
      <c r="C39" s="268" t="s">
        <v>122</v>
      </c>
      <c r="D39" s="268">
        <v>2500</v>
      </c>
      <c r="E39" s="272"/>
      <c r="F39" s="271"/>
    </row>
    <row r="40" spans="1:6" ht="44.25" customHeight="1">
      <c r="A40" s="268">
        <v>30</v>
      </c>
      <c r="B40" s="269" t="s">
        <v>233</v>
      </c>
      <c r="C40" s="268" t="s">
        <v>122</v>
      </c>
      <c r="D40" s="268">
        <v>450</v>
      </c>
      <c r="E40" s="272"/>
      <c r="F40" s="271"/>
    </row>
    <row r="41" spans="1:6" ht="15.75" customHeight="1">
      <c r="A41" s="268">
        <v>31</v>
      </c>
      <c r="B41" s="269" t="s">
        <v>234</v>
      </c>
      <c r="C41" s="268" t="s">
        <v>122</v>
      </c>
      <c r="D41" s="268">
        <v>10</v>
      </c>
      <c r="E41" s="272"/>
      <c r="F41" s="271"/>
    </row>
    <row r="42" spans="1:6" ht="15.75" customHeight="1">
      <c r="A42" s="268">
        <v>32</v>
      </c>
      <c r="B42" s="269" t="s">
        <v>235</v>
      </c>
      <c r="C42" s="268" t="s">
        <v>122</v>
      </c>
      <c r="D42" s="268">
        <v>10</v>
      </c>
      <c r="E42" s="272"/>
      <c r="F42" s="271"/>
    </row>
    <row r="43" spans="1:6" ht="15.75" customHeight="1">
      <c r="A43" s="268">
        <v>33</v>
      </c>
      <c r="B43" s="269" t="s">
        <v>236</v>
      </c>
      <c r="C43" s="268" t="s">
        <v>122</v>
      </c>
      <c r="D43" s="268">
        <v>30</v>
      </c>
      <c r="E43" s="272"/>
      <c r="F43" s="271"/>
    </row>
    <row r="44" spans="1:6" ht="15.75" customHeight="1">
      <c r="A44" s="268">
        <v>34</v>
      </c>
      <c r="B44" s="269" t="s">
        <v>237</v>
      </c>
      <c r="C44" s="268" t="s">
        <v>101</v>
      </c>
      <c r="D44" s="268">
        <v>12</v>
      </c>
      <c r="E44" s="272"/>
      <c r="F44" s="271"/>
    </row>
    <row r="45" spans="1:6" ht="15.75" customHeight="1">
      <c r="A45" s="268">
        <v>35</v>
      </c>
      <c r="B45" s="269" t="s">
        <v>238</v>
      </c>
      <c r="C45" s="268" t="s">
        <v>122</v>
      </c>
      <c r="D45" s="268">
        <v>72</v>
      </c>
      <c r="E45" s="272"/>
      <c r="F45" s="271"/>
    </row>
    <row r="46" spans="1:6" ht="15.75" customHeight="1">
      <c r="A46" s="268">
        <v>36</v>
      </c>
      <c r="B46" s="269" t="s">
        <v>239</v>
      </c>
      <c r="C46" s="268" t="s">
        <v>122</v>
      </c>
      <c r="D46" s="268">
        <v>72</v>
      </c>
      <c r="E46" s="272"/>
      <c r="F46" s="271"/>
    </row>
    <row r="47" spans="1:6" ht="15.75" customHeight="1">
      <c r="A47" s="268">
        <v>37</v>
      </c>
      <c r="B47" s="269" t="s">
        <v>240</v>
      </c>
      <c r="C47" s="268" t="s">
        <v>101</v>
      </c>
      <c r="D47" s="268">
        <v>180</v>
      </c>
      <c r="E47" s="272"/>
      <c r="F47" s="271"/>
    </row>
    <row r="48" spans="1:6" ht="15.75" customHeight="1">
      <c r="A48" s="268">
        <v>38</v>
      </c>
      <c r="B48" s="269" t="s">
        <v>241</v>
      </c>
      <c r="C48" s="268" t="s">
        <v>120</v>
      </c>
      <c r="D48" s="268">
        <v>72</v>
      </c>
      <c r="E48" s="272"/>
      <c r="F48" s="271"/>
    </row>
    <row r="49" spans="1:6" ht="15.75" customHeight="1">
      <c r="A49" s="268">
        <v>39</v>
      </c>
      <c r="B49" s="269" t="s">
        <v>242</v>
      </c>
      <c r="C49" s="268" t="s">
        <v>120</v>
      </c>
      <c r="D49" s="268">
        <v>72</v>
      </c>
      <c r="E49" s="272"/>
      <c r="F49" s="271"/>
    </row>
    <row r="50" spans="1:6" ht="15.75" customHeight="1">
      <c r="A50" s="268">
        <v>40</v>
      </c>
      <c r="B50" s="269" t="s">
        <v>243</v>
      </c>
      <c r="C50" s="268" t="s">
        <v>120</v>
      </c>
      <c r="D50" s="268">
        <v>72</v>
      </c>
      <c r="E50" s="272"/>
      <c r="F50" s="271"/>
    </row>
    <row r="51" spans="1:6" ht="15.75" customHeight="1">
      <c r="A51" s="268">
        <v>41</v>
      </c>
      <c r="B51" s="269" t="s">
        <v>244</v>
      </c>
      <c r="C51" s="268" t="s">
        <v>101</v>
      </c>
      <c r="D51" s="268">
        <v>30</v>
      </c>
      <c r="E51" s="272"/>
      <c r="F51" s="271"/>
    </row>
    <row r="52" spans="1:6" ht="15.75" customHeight="1">
      <c r="A52" s="268">
        <v>42</v>
      </c>
      <c r="B52" s="269" t="s">
        <v>245</v>
      </c>
      <c r="C52" s="268" t="s">
        <v>101</v>
      </c>
      <c r="D52" s="268">
        <v>9</v>
      </c>
      <c r="E52" s="272"/>
      <c r="F52" s="271"/>
    </row>
    <row r="53" spans="1:6" ht="15.75" customHeight="1">
      <c r="A53" s="268">
        <v>43</v>
      </c>
      <c r="B53" s="269" t="s">
        <v>246</v>
      </c>
      <c r="C53" s="268" t="s">
        <v>101</v>
      </c>
      <c r="D53" s="268">
        <v>12</v>
      </c>
      <c r="E53" s="272"/>
      <c r="F53" s="271"/>
    </row>
    <row r="54" spans="1:6" ht="15.75" customHeight="1">
      <c r="A54" s="268">
        <v>44</v>
      </c>
      <c r="B54" s="269" t="s">
        <v>247</v>
      </c>
      <c r="C54" s="268" t="s">
        <v>101</v>
      </c>
      <c r="D54" s="268">
        <v>18</v>
      </c>
      <c r="E54" s="272"/>
      <c r="F54" s="271"/>
    </row>
    <row r="55" spans="1:6" ht="16.5">
      <c r="A55" s="268">
        <v>45</v>
      </c>
      <c r="B55" s="269" t="s">
        <v>249</v>
      </c>
      <c r="C55" s="268" t="s">
        <v>101</v>
      </c>
      <c r="D55" s="268">
        <v>135</v>
      </c>
      <c r="E55" s="272"/>
      <c r="F55" s="271"/>
    </row>
    <row r="56" spans="1:6" ht="16.5">
      <c r="A56" s="268">
        <v>46</v>
      </c>
      <c r="B56" s="269" t="s">
        <v>250</v>
      </c>
      <c r="C56" s="270" t="s">
        <v>101</v>
      </c>
      <c r="D56" s="270">
        <v>6</v>
      </c>
      <c r="E56" s="271"/>
      <c r="F56" s="271"/>
    </row>
    <row r="57" spans="1:6" ht="16.5">
      <c r="A57" s="268">
        <v>47</v>
      </c>
      <c r="B57" s="269" t="s">
        <v>251</v>
      </c>
      <c r="C57" s="268" t="s">
        <v>101</v>
      </c>
      <c r="D57" s="268">
        <v>18</v>
      </c>
      <c r="E57" s="272"/>
      <c r="F57" s="271"/>
    </row>
    <row r="58" spans="1:6" ht="15.75" customHeight="1">
      <c r="A58" s="268">
        <v>48</v>
      </c>
      <c r="B58" s="269" t="s">
        <v>207</v>
      </c>
      <c r="C58" s="268" t="s">
        <v>122</v>
      </c>
      <c r="D58" s="268">
        <v>10</v>
      </c>
      <c r="E58" s="272"/>
      <c r="F58" s="271"/>
    </row>
    <row r="59" spans="1:6" ht="15.75" customHeight="1">
      <c r="A59" s="268">
        <v>49</v>
      </c>
      <c r="B59" s="269" t="s">
        <v>218</v>
      </c>
      <c r="C59" s="268" t="s">
        <v>122</v>
      </c>
      <c r="D59" s="268">
        <v>15</v>
      </c>
      <c r="E59" s="272"/>
      <c r="F59" s="271"/>
    </row>
    <row r="60" spans="1:6" ht="15.75" customHeight="1">
      <c r="A60" s="268">
        <v>50</v>
      </c>
      <c r="B60" s="269" t="s">
        <v>219</v>
      </c>
      <c r="C60" s="268" t="s">
        <v>122</v>
      </c>
      <c r="D60" s="268">
        <v>10</v>
      </c>
      <c r="E60" s="272"/>
      <c r="F60" s="271"/>
    </row>
    <row r="61" spans="1:6" ht="15.75" customHeight="1">
      <c r="A61" s="268">
        <v>51</v>
      </c>
      <c r="B61" s="269" t="s">
        <v>220</v>
      </c>
      <c r="C61" s="268" t="s">
        <v>122</v>
      </c>
      <c r="D61" s="268">
        <v>36</v>
      </c>
      <c r="E61" s="272"/>
      <c r="F61" s="271"/>
    </row>
    <row r="62" spans="1:6" ht="15.75" customHeight="1">
      <c r="A62" s="268">
        <v>52</v>
      </c>
      <c r="B62" s="269" t="s">
        <v>248</v>
      </c>
      <c r="C62" s="268" t="s">
        <v>143</v>
      </c>
      <c r="D62" s="268">
        <v>3</v>
      </c>
      <c r="E62" s="272"/>
      <c r="F62" s="271"/>
    </row>
    <row r="63" spans="1:6" ht="16.5">
      <c r="A63" s="505" t="s">
        <v>132</v>
      </c>
      <c r="B63" s="506"/>
      <c r="C63" s="506"/>
      <c r="D63" s="506"/>
      <c r="E63" s="507"/>
      <c r="F63" s="273"/>
    </row>
  </sheetData>
  <sheetProtection/>
  <mergeCells count="2">
    <mergeCell ref="A7:F7"/>
    <mergeCell ref="A63:E63"/>
  </mergeCells>
  <printOptions/>
  <pageMargins left="0.84" right="0.5118110236220472" top="0.7086614173228347" bottom="0.5905511811023623" header="0.31496062992125984" footer="0.5118110236220472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5"/>
  <sheetViews>
    <sheetView zoomScale="145" zoomScaleNormal="145" zoomScalePageLayoutView="0" workbookViewId="0" topLeftCell="A22">
      <selection activeCell="L54" sqref="L54"/>
    </sheetView>
  </sheetViews>
  <sheetFormatPr defaultColWidth="9.140625" defaultRowHeight="15"/>
  <cols>
    <col min="2" max="2" width="34.00390625" style="0" customWidth="1"/>
    <col min="3" max="3" width="11.57421875" style="0" customWidth="1"/>
    <col min="5" max="5" width="10.28125" style="0" bestFit="1" customWidth="1"/>
    <col min="6" max="6" width="13.8515625" style="0" bestFit="1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6" spans="1:6" s="1" customFormat="1" ht="15.75">
      <c r="A6" s="90"/>
      <c r="B6" s="90"/>
      <c r="C6" s="90"/>
      <c r="D6" s="90"/>
      <c r="E6" s="90"/>
      <c r="F6" s="90"/>
    </row>
    <row r="7" spans="1:6" s="1" customFormat="1" ht="15.75">
      <c r="A7" s="90"/>
      <c r="B7" s="90"/>
      <c r="C7" s="90"/>
      <c r="D7" s="90"/>
      <c r="E7" s="90"/>
      <c r="F7" s="90"/>
    </row>
    <row r="8" spans="1:6" ht="16.5">
      <c r="A8" s="493" t="s">
        <v>572</v>
      </c>
      <c r="B8" s="493"/>
      <c r="C8" s="493"/>
      <c r="D8" s="493"/>
      <c r="E8" s="493"/>
      <c r="F8" s="493"/>
    </row>
    <row r="9" spans="1:6" ht="16.5">
      <c r="A9" s="10"/>
      <c r="B9" s="10"/>
      <c r="C9" s="10"/>
      <c r="D9" s="10"/>
      <c r="E9" s="10"/>
      <c r="F9" s="10"/>
    </row>
    <row r="10" spans="1:6" ht="33">
      <c r="A10" s="234" t="s">
        <v>98</v>
      </c>
      <c r="B10" s="235" t="s">
        <v>94</v>
      </c>
      <c r="C10" s="235" t="s">
        <v>101</v>
      </c>
      <c r="D10" s="235" t="s">
        <v>96</v>
      </c>
      <c r="E10" s="235" t="s">
        <v>87</v>
      </c>
      <c r="F10" s="235" t="s">
        <v>252</v>
      </c>
    </row>
    <row r="11" spans="1:6" ht="16.5">
      <c r="A11" s="252">
        <v>1</v>
      </c>
      <c r="B11" s="274" t="s">
        <v>627</v>
      </c>
      <c r="C11" s="252" t="s">
        <v>122</v>
      </c>
      <c r="D11" s="252">
        <v>45</v>
      </c>
      <c r="E11" s="275"/>
      <c r="F11" s="275"/>
    </row>
    <row r="12" spans="1:6" ht="16.5" hidden="1">
      <c r="A12" s="252">
        <v>2</v>
      </c>
      <c r="B12" s="276" t="s">
        <v>253</v>
      </c>
      <c r="C12" s="252" t="s">
        <v>101</v>
      </c>
      <c r="D12" s="252">
        <v>0</v>
      </c>
      <c r="E12" s="275"/>
      <c r="F12" s="275"/>
    </row>
    <row r="13" spans="1:6" ht="16.5">
      <c r="A13" s="252">
        <v>2</v>
      </c>
      <c r="B13" s="276" t="s">
        <v>254</v>
      </c>
      <c r="C13" s="252" t="s">
        <v>101</v>
      </c>
      <c r="D13" s="252">
        <v>45</v>
      </c>
      <c r="E13" s="275"/>
      <c r="F13" s="275"/>
    </row>
    <row r="14" spans="1:6" ht="16.5">
      <c r="A14" s="252">
        <v>3</v>
      </c>
      <c r="B14" s="274" t="s">
        <v>255</v>
      </c>
      <c r="C14" s="252" t="s">
        <v>101</v>
      </c>
      <c r="D14" s="252">
        <v>300</v>
      </c>
      <c r="E14" s="275"/>
      <c r="F14" s="275"/>
    </row>
    <row r="15" spans="1:6" ht="16.5">
      <c r="A15" s="252">
        <v>4</v>
      </c>
      <c r="B15" s="274" t="s">
        <v>256</v>
      </c>
      <c r="C15" s="252" t="s">
        <v>101</v>
      </c>
      <c r="D15" s="252">
        <v>450</v>
      </c>
      <c r="E15" s="275"/>
      <c r="F15" s="275"/>
    </row>
    <row r="16" spans="1:6" ht="16.5">
      <c r="A16" s="252">
        <v>5</v>
      </c>
      <c r="B16" s="274" t="s">
        <v>257</v>
      </c>
      <c r="C16" s="252" t="s">
        <v>143</v>
      </c>
      <c r="D16" s="252">
        <v>50</v>
      </c>
      <c r="E16" s="275"/>
      <c r="F16" s="275"/>
    </row>
    <row r="17" spans="1:6" ht="16.5">
      <c r="A17" s="252">
        <v>6</v>
      </c>
      <c r="B17" s="274" t="s">
        <v>258</v>
      </c>
      <c r="C17" s="252" t="s">
        <v>101</v>
      </c>
      <c r="D17" s="252">
        <v>6</v>
      </c>
      <c r="E17" s="275"/>
      <c r="F17" s="275"/>
    </row>
    <row r="18" spans="1:6" ht="16.5">
      <c r="A18" s="252">
        <v>7</v>
      </c>
      <c r="B18" s="274" t="s">
        <v>259</v>
      </c>
      <c r="C18" s="252" t="s">
        <v>101</v>
      </c>
      <c r="D18" s="252">
        <v>450</v>
      </c>
      <c r="E18" s="275"/>
      <c r="F18" s="275"/>
    </row>
    <row r="19" spans="1:6" ht="16.5">
      <c r="A19" s="252">
        <v>8</v>
      </c>
      <c r="B19" s="274" t="s">
        <v>260</v>
      </c>
      <c r="C19" s="252" t="s">
        <v>101</v>
      </c>
      <c r="D19" s="252">
        <v>300</v>
      </c>
      <c r="E19" s="275"/>
      <c r="F19" s="275"/>
    </row>
    <row r="20" spans="1:6" ht="16.5">
      <c r="A20" s="252">
        <v>9</v>
      </c>
      <c r="B20" s="274" t="s">
        <v>261</v>
      </c>
      <c r="C20" s="252" t="s">
        <v>120</v>
      </c>
      <c r="D20" s="252">
        <v>50</v>
      </c>
      <c r="E20" s="275"/>
      <c r="F20" s="275"/>
    </row>
    <row r="21" spans="1:6" ht="16.5">
      <c r="A21" s="252">
        <v>10</v>
      </c>
      <c r="B21" s="274" t="s">
        <v>262</v>
      </c>
      <c r="C21" s="252" t="s">
        <v>101</v>
      </c>
      <c r="D21" s="252">
        <v>150</v>
      </c>
      <c r="E21" s="275"/>
      <c r="F21" s="275"/>
    </row>
    <row r="22" spans="1:6" ht="16.5">
      <c r="A22" s="252">
        <v>11</v>
      </c>
      <c r="B22" s="274" t="s">
        <v>628</v>
      </c>
      <c r="C22" s="252" t="s">
        <v>101</v>
      </c>
      <c r="D22" s="252">
        <v>250</v>
      </c>
      <c r="E22" s="275"/>
      <c r="F22" s="275"/>
    </row>
    <row r="23" spans="1:6" ht="16.5">
      <c r="A23" s="252">
        <v>12</v>
      </c>
      <c r="B23" s="277" t="s">
        <v>263</v>
      </c>
      <c r="C23" s="252" t="s">
        <v>120</v>
      </c>
      <c r="D23" s="252">
        <v>45</v>
      </c>
      <c r="E23" s="275"/>
      <c r="F23" s="275"/>
    </row>
    <row r="24" spans="1:6" ht="16.5" hidden="1">
      <c r="A24" s="252">
        <v>13</v>
      </c>
      <c r="B24" s="274" t="s">
        <v>264</v>
      </c>
      <c r="C24" s="252" t="s">
        <v>101</v>
      </c>
      <c r="D24" s="252">
        <v>0</v>
      </c>
      <c r="E24" s="275"/>
      <c r="F24" s="275"/>
    </row>
    <row r="25" spans="1:6" ht="16.5">
      <c r="A25" s="252">
        <v>13</v>
      </c>
      <c r="B25" s="274" t="s">
        <v>265</v>
      </c>
      <c r="C25" s="252" t="s">
        <v>143</v>
      </c>
      <c r="D25" s="252">
        <v>12</v>
      </c>
      <c r="E25" s="275"/>
      <c r="F25" s="275"/>
    </row>
    <row r="26" spans="1:6" ht="16.5">
      <c r="A26" s="252">
        <v>14</v>
      </c>
      <c r="B26" s="274" t="s">
        <v>629</v>
      </c>
      <c r="C26" s="252" t="s">
        <v>143</v>
      </c>
      <c r="D26" s="252">
        <v>10</v>
      </c>
      <c r="E26" s="275"/>
      <c r="F26" s="275"/>
    </row>
    <row r="27" spans="1:6" ht="16.5">
      <c r="A27" s="252">
        <v>15</v>
      </c>
      <c r="B27" s="274" t="s">
        <v>266</v>
      </c>
      <c r="C27" s="252" t="s">
        <v>101</v>
      </c>
      <c r="D27" s="252">
        <v>9</v>
      </c>
      <c r="E27" s="275"/>
      <c r="F27" s="275"/>
    </row>
    <row r="28" spans="1:6" ht="16.5">
      <c r="A28" s="252">
        <v>16</v>
      </c>
      <c r="B28" s="274" t="s">
        <v>267</v>
      </c>
      <c r="C28" s="252" t="s">
        <v>101</v>
      </c>
      <c r="D28" s="252">
        <v>90</v>
      </c>
      <c r="E28" s="275"/>
      <c r="F28" s="275"/>
    </row>
    <row r="29" spans="1:6" ht="16.5">
      <c r="A29" s="252">
        <v>17</v>
      </c>
      <c r="B29" s="274" t="s">
        <v>269</v>
      </c>
      <c r="C29" s="252" t="s">
        <v>101</v>
      </c>
      <c r="D29" s="252">
        <v>450</v>
      </c>
      <c r="E29" s="275"/>
      <c r="F29" s="275"/>
    </row>
    <row r="30" spans="1:6" ht="16.5">
      <c r="A30" s="252">
        <v>18</v>
      </c>
      <c r="B30" s="274" t="s">
        <v>630</v>
      </c>
      <c r="C30" s="252" t="s">
        <v>101</v>
      </c>
      <c r="D30" s="252">
        <v>90</v>
      </c>
      <c r="E30" s="275"/>
      <c r="F30" s="275"/>
    </row>
    <row r="31" spans="1:6" ht="16.5">
      <c r="A31" s="252">
        <v>19</v>
      </c>
      <c r="B31" s="274" t="s">
        <v>631</v>
      </c>
      <c r="C31" s="252" t="s">
        <v>101</v>
      </c>
      <c r="D31" s="252">
        <v>270</v>
      </c>
      <c r="E31" s="275"/>
      <c r="F31" s="275"/>
    </row>
    <row r="32" spans="1:6" ht="16.5">
      <c r="A32" s="252">
        <v>20</v>
      </c>
      <c r="B32" s="274" t="s">
        <v>272</v>
      </c>
      <c r="C32" s="252" t="s">
        <v>101</v>
      </c>
      <c r="D32" s="252">
        <v>450</v>
      </c>
      <c r="E32" s="275"/>
      <c r="F32" s="275"/>
    </row>
    <row r="33" spans="1:6" ht="16.5">
      <c r="A33" s="252">
        <v>21</v>
      </c>
      <c r="B33" s="274" t="s">
        <v>273</v>
      </c>
      <c r="C33" s="252" t="s">
        <v>101</v>
      </c>
      <c r="D33" s="252">
        <v>150</v>
      </c>
      <c r="E33" s="275"/>
      <c r="F33" s="275"/>
    </row>
    <row r="34" spans="1:6" ht="16.5">
      <c r="A34" s="252">
        <v>22</v>
      </c>
      <c r="B34" s="274" t="s">
        <v>274</v>
      </c>
      <c r="C34" s="252" t="s">
        <v>101</v>
      </c>
      <c r="D34" s="252">
        <v>450</v>
      </c>
      <c r="E34" s="275"/>
      <c r="F34" s="275"/>
    </row>
    <row r="35" spans="1:6" ht="16.5">
      <c r="A35" s="252">
        <v>23</v>
      </c>
      <c r="B35" s="274" t="s">
        <v>632</v>
      </c>
      <c r="C35" s="252" t="s">
        <v>101</v>
      </c>
      <c r="D35" s="252">
        <v>90</v>
      </c>
      <c r="E35" s="275"/>
      <c r="F35" s="275"/>
    </row>
    <row r="36" spans="1:6" ht="16.5">
      <c r="A36" s="252">
        <v>24</v>
      </c>
      <c r="B36" s="274" t="s">
        <v>633</v>
      </c>
      <c r="C36" s="252" t="s">
        <v>101</v>
      </c>
      <c r="D36" s="252">
        <v>60</v>
      </c>
      <c r="E36" s="275"/>
      <c r="F36" s="275"/>
    </row>
    <row r="37" spans="1:6" ht="16.5">
      <c r="A37" s="252">
        <v>25</v>
      </c>
      <c r="B37" s="274" t="s">
        <v>634</v>
      </c>
      <c r="C37" s="252" t="s">
        <v>101</v>
      </c>
      <c r="D37" s="252">
        <v>30</v>
      </c>
      <c r="E37" s="275"/>
      <c r="F37" s="275"/>
    </row>
    <row r="38" spans="1:6" ht="16.5" hidden="1">
      <c r="A38" s="509" t="s">
        <v>421</v>
      </c>
      <c r="B38" s="509"/>
      <c r="C38" s="509"/>
      <c r="D38" s="509"/>
      <c r="E38" s="509"/>
      <c r="F38" s="509"/>
    </row>
    <row r="39" spans="1:6" ht="16.5">
      <c r="A39" s="252">
        <v>26</v>
      </c>
      <c r="B39" s="276" t="s">
        <v>635</v>
      </c>
      <c r="C39" s="252" t="s">
        <v>101</v>
      </c>
      <c r="D39" s="252">
        <v>135</v>
      </c>
      <c r="E39" s="275"/>
      <c r="F39" s="275"/>
    </row>
    <row r="40" spans="1:6" ht="16.5">
      <c r="A40" s="252">
        <v>27</v>
      </c>
      <c r="B40" s="274" t="s">
        <v>636</v>
      </c>
      <c r="C40" s="252" t="s">
        <v>101</v>
      </c>
      <c r="D40" s="252">
        <v>20</v>
      </c>
      <c r="E40" s="275"/>
      <c r="F40" s="275"/>
    </row>
    <row r="41" spans="1:6" ht="16.5">
      <c r="A41" s="252">
        <v>28</v>
      </c>
      <c r="B41" s="274" t="s">
        <v>268</v>
      </c>
      <c r="C41" s="252" t="s">
        <v>101</v>
      </c>
      <c r="D41" s="252">
        <v>130</v>
      </c>
      <c r="E41" s="275"/>
      <c r="F41" s="275"/>
    </row>
    <row r="42" spans="1:6" ht="16.5">
      <c r="A42" s="252">
        <v>29</v>
      </c>
      <c r="B42" s="274" t="s">
        <v>270</v>
      </c>
      <c r="C42" s="252" t="s">
        <v>143</v>
      </c>
      <c r="D42" s="252">
        <v>12</v>
      </c>
      <c r="E42" s="275"/>
      <c r="F42" s="275"/>
    </row>
    <row r="43" spans="1:6" ht="16.5">
      <c r="A43" s="252">
        <v>30</v>
      </c>
      <c r="B43" s="274" t="s">
        <v>637</v>
      </c>
      <c r="C43" s="252" t="s">
        <v>271</v>
      </c>
      <c r="D43" s="252">
        <v>16</v>
      </c>
      <c r="E43" s="275"/>
      <c r="F43" s="275"/>
    </row>
    <row r="44" spans="1:6" ht="16.5">
      <c r="A44" s="252">
        <v>31</v>
      </c>
      <c r="B44" s="274" t="s">
        <v>638</v>
      </c>
      <c r="C44" s="252" t="s">
        <v>143</v>
      </c>
      <c r="D44" s="252">
        <v>12</v>
      </c>
      <c r="E44" s="275"/>
      <c r="F44" s="275"/>
    </row>
    <row r="45" spans="1:6" ht="16.5">
      <c r="A45" s="278" t="s">
        <v>275</v>
      </c>
      <c r="B45" s="508"/>
      <c r="C45" s="508"/>
      <c r="D45" s="508"/>
      <c r="E45" s="508"/>
      <c r="F45" s="279"/>
    </row>
  </sheetData>
  <sheetProtection/>
  <mergeCells count="3">
    <mergeCell ref="B45:E45"/>
    <mergeCell ref="A38:F38"/>
    <mergeCell ref="A8:F8"/>
  </mergeCells>
  <printOptions/>
  <pageMargins left="1.2" right="0.5118055555555556" top="0.7875" bottom="0.7875" header="0.5118055555555556" footer="0.5118055555555556"/>
  <pageSetup fitToHeight="1" fitToWidth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zoomScale="145" zoomScaleNormal="145" zoomScalePageLayoutView="0" workbookViewId="0" topLeftCell="A9">
      <selection activeCell="C10" sqref="C10"/>
    </sheetView>
  </sheetViews>
  <sheetFormatPr defaultColWidth="11.57421875" defaultRowHeight="15"/>
  <cols>
    <col min="1" max="1" width="80.140625" style="0" customWidth="1"/>
    <col min="2" max="2" width="16.28125" style="0" customWidth="1"/>
    <col min="3" max="3" width="15.00390625" style="0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6" spans="1:6" s="1" customFormat="1" ht="15.75">
      <c r="A6" s="90"/>
      <c r="B6" s="90"/>
      <c r="C6" s="90"/>
      <c r="D6" s="90"/>
      <c r="E6" s="90"/>
      <c r="F6" s="90"/>
    </row>
    <row r="7" spans="1:3" ht="15">
      <c r="A7" s="511" t="s">
        <v>416</v>
      </c>
      <c r="B7" s="511"/>
      <c r="C7" s="511"/>
    </row>
    <row r="8" spans="1:3" ht="15">
      <c r="A8" s="510" t="s">
        <v>414</v>
      </c>
      <c r="B8" s="510"/>
      <c r="C8" s="510"/>
    </row>
    <row r="9" spans="1:3" ht="15">
      <c r="A9" s="8" t="s">
        <v>276</v>
      </c>
      <c r="B9" s="33" t="s">
        <v>277</v>
      </c>
      <c r="C9" s="33" t="s">
        <v>278</v>
      </c>
    </row>
    <row r="10" spans="1:3" ht="384" customHeight="1">
      <c r="A10" s="37" t="s">
        <v>424</v>
      </c>
      <c r="B10" s="38"/>
      <c r="C10" s="400"/>
    </row>
    <row r="11" spans="1:3" ht="14.25" customHeight="1" hidden="1">
      <c r="A11" s="6" t="s">
        <v>279</v>
      </c>
      <c r="B11" s="32">
        <v>0</v>
      </c>
      <c r="C11" s="32">
        <f>B11*12</f>
        <v>0</v>
      </c>
    </row>
    <row r="12" spans="1:3" ht="15">
      <c r="A12" s="39" t="s">
        <v>574</v>
      </c>
      <c r="B12" s="34"/>
      <c r="C12" s="34"/>
    </row>
    <row r="13" spans="1:3" ht="15">
      <c r="A13" s="140"/>
      <c r="B13" s="141"/>
      <c r="C13" s="141"/>
    </row>
    <row r="15" spans="1:3" ht="15">
      <c r="A15" s="510" t="s">
        <v>415</v>
      </c>
      <c r="B15" s="510"/>
      <c r="C15" s="510"/>
    </row>
    <row r="16" spans="1:3" ht="15">
      <c r="A16" s="8" t="s">
        <v>280</v>
      </c>
      <c r="B16" s="33" t="s">
        <v>277</v>
      </c>
      <c r="C16" s="33" t="s">
        <v>278</v>
      </c>
    </row>
    <row r="17" spans="1:3" ht="348.75" customHeight="1">
      <c r="A17" s="37" t="s">
        <v>425</v>
      </c>
      <c r="B17" s="38"/>
      <c r="C17" s="38"/>
    </row>
    <row r="18" spans="1:3" ht="15">
      <c r="A18" s="39" t="s">
        <v>575</v>
      </c>
      <c r="B18" s="34"/>
      <c r="C18" s="34"/>
    </row>
    <row r="20" spans="1:3" ht="15">
      <c r="A20" s="40" t="s">
        <v>281</v>
      </c>
      <c r="B20" s="41"/>
      <c r="C20" s="41"/>
    </row>
  </sheetData>
  <sheetProtection/>
  <mergeCells count="3">
    <mergeCell ref="A8:C8"/>
    <mergeCell ref="A15:C15"/>
    <mergeCell ref="A7:C7"/>
  </mergeCells>
  <printOptions/>
  <pageMargins left="1.0236220472440944" right="0.35433070866141736" top="0.5511811023622047" bottom="0.2362204724409449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9:Z69"/>
  <sheetViews>
    <sheetView view="pageBreakPreview" zoomScaleNormal="75" zoomScaleSheetLayoutView="100" zoomScalePageLayoutView="0" workbookViewId="0" topLeftCell="A4">
      <selection activeCell="L38" sqref="L38"/>
    </sheetView>
  </sheetViews>
  <sheetFormatPr defaultColWidth="19.00390625" defaultRowHeight="15"/>
  <cols>
    <col min="1" max="1" width="4.28125" style="1" customWidth="1"/>
    <col min="2" max="2" width="29.8515625" style="1" customWidth="1"/>
    <col min="3" max="3" width="4.421875" style="1" customWidth="1"/>
    <col min="4" max="4" width="9.421875" style="1" bestFit="1" customWidth="1"/>
    <col min="5" max="5" width="7.421875" style="1" customWidth="1"/>
    <col min="6" max="6" width="9.00390625" style="1" bestFit="1" customWidth="1"/>
    <col min="7" max="9" width="8.140625" style="1" bestFit="1" customWidth="1"/>
    <col min="10" max="10" width="7.421875" style="1" customWidth="1"/>
    <col min="11" max="11" width="7.7109375" style="1" customWidth="1"/>
    <col min="12" max="12" width="7.00390625" style="1" bestFit="1" customWidth="1"/>
    <col min="13" max="13" width="5.421875" style="1" customWidth="1"/>
    <col min="14" max="14" width="7.00390625" style="1" customWidth="1"/>
    <col min="15" max="15" width="8.140625" style="1" bestFit="1" customWidth="1"/>
    <col min="16" max="16" width="7.421875" style="1" customWidth="1"/>
    <col min="17" max="17" width="8.421875" style="1" customWidth="1"/>
    <col min="18" max="19" width="8.140625" style="1" bestFit="1" customWidth="1"/>
    <col min="20" max="20" width="10.00390625" style="1" customWidth="1"/>
    <col min="21" max="21" width="8.421875" style="1" customWidth="1"/>
    <col min="22" max="22" width="7.57421875" style="1" customWidth="1"/>
    <col min="23" max="23" width="13.421875" style="1" customWidth="1"/>
    <col min="24" max="24" width="12.8515625" style="1" customWidth="1"/>
    <col min="25" max="25" width="9.8515625" style="1" customWidth="1"/>
    <col min="26" max="26" width="13.8515625" style="1" customWidth="1"/>
    <col min="27" max="16384" width="19.00390625" style="1" customWidth="1"/>
  </cols>
  <sheetData>
    <row r="9" spans="1:26" ht="12.75">
      <c r="A9" s="420" t="s">
        <v>428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2"/>
      <c r="Z9" s="2"/>
    </row>
    <row r="10" spans="1:26" ht="1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420" t="s">
        <v>396</v>
      </c>
      <c r="Y10" s="422"/>
      <c r="Z10" s="2"/>
    </row>
    <row r="11" spans="1:26" ht="34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 t="s">
        <v>397</v>
      </c>
      <c r="Y11" s="74" t="s">
        <v>400</v>
      </c>
      <c r="Z11" s="2"/>
    </row>
    <row r="12" spans="1:26" ht="12.75" customHeight="1">
      <c r="A12" s="423" t="s">
        <v>28</v>
      </c>
      <c r="B12" s="413" t="s">
        <v>29</v>
      </c>
      <c r="C12" s="413" t="s">
        <v>449</v>
      </c>
      <c r="D12" s="413" t="s">
        <v>30</v>
      </c>
      <c r="E12" s="424" t="s">
        <v>31</v>
      </c>
      <c r="F12" s="413" t="s">
        <v>32</v>
      </c>
      <c r="G12" s="413" t="s">
        <v>33</v>
      </c>
      <c r="H12" s="413"/>
      <c r="I12" s="413"/>
      <c r="J12" s="413"/>
      <c r="K12" s="413"/>
      <c r="L12" s="413"/>
      <c r="M12" s="413"/>
      <c r="N12" s="413"/>
      <c r="O12" s="75"/>
      <c r="P12" s="75"/>
      <c r="Q12" s="75"/>
      <c r="R12" s="75"/>
      <c r="S12" s="75"/>
      <c r="T12" s="426" t="s">
        <v>34</v>
      </c>
      <c r="U12" s="427"/>
      <c r="V12" s="428"/>
      <c r="W12" s="413" t="s">
        <v>419</v>
      </c>
      <c r="X12" s="413" t="s">
        <v>418</v>
      </c>
      <c r="Y12" s="413" t="s">
        <v>398</v>
      </c>
      <c r="Z12" s="2"/>
    </row>
    <row r="13" spans="1:26" ht="39.75" customHeight="1">
      <c r="A13" s="423"/>
      <c r="B13" s="413"/>
      <c r="C13" s="413"/>
      <c r="D13" s="413"/>
      <c r="E13" s="425"/>
      <c r="F13" s="413"/>
      <c r="G13" s="75" t="s">
        <v>35</v>
      </c>
      <c r="H13" s="75" t="s">
        <v>36</v>
      </c>
      <c r="I13" s="75" t="s">
        <v>37</v>
      </c>
      <c r="J13" s="75" t="s">
        <v>38</v>
      </c>
      <c r="K13" s="75" t="s">
        <v>39</v>
      </c>
      <c r="L13" s="75" t="s">
        <v>40</v>
      </c>
      <c r="M13" s="75" t="s">
        <v>41</v>
      </c>
      <c r="N13" s="75" t="s">
        <v>42</v>
      </c>
      <c r="O13" s="75" t="s">
        <v>43</v>
      </c>
      <c r="P13" s="75" t="s">
        <v>44</v>
      </c>
      <c r="Q13" s="75" t="s">
        <v>45</v>
      </c>
      <c r="R13" s="75" t="s">
        <v>47</v>
      </c>
      <c r="S13" s="75" t="s">
        <v>48</v>
      </c>
      <c r="T13" s="75" t="s">
        <v>46</v>
      </c>
      <c r="U13" s="75" t="s">
        <v>49</v>
      </c>
      <c r="V13" s="127" t="s">
        <v>417</v>
      </c>
      <c r="W13" s="413"/>
      <c r="X13" s="413"/>
      <c r="Y13" s="413"/>
      <c r="Z13" s="2"/>
    </row>
    <row r="14" spans="1:26" ht="12.75">
      <c r="A14" s="76" t="s">
        <v>50</v>
      </c>
      <c r="B14" s="171" t="s">
        <v>447</v>
      </c>
      <c r="C14" s="77">
        <v>1</v>
      </c>
      <c r="D14" s="176">
        <f>'MEDIA SAL PREFEIT'!H11</f>
        <v>5548.4</v>
      </c>
      <c r="E14" s="79"/>
      <c r="F14" s="80">
        <f aca="true" t="shared" si="0" ref="F14:F23">D14*C14</f>
        <v>5548.4</v>
      </c>
      <c r="G14" s="78">
        <f aca="true" t="shared" si="1" ref="G14:G28">+F14/12</f>
        <v>462.3666666666666</v>
      </c>
      <c r="H14" s="78">
        <f aca="true" t="shared" si="2" ref="H14:H28">+(F14/12)+(G14/3)</f>
        <v>616.4888888888888</v>
      </c>
      <c r="I14" s="78">
        <f aca="true" t="shared" si="3" ref="I14:I28">+F14*0.08</f>
        <v>443.87199999999996</v>
      </c>
      <c r="J14" s="78">
        <f aca="true" t="shared" si="4" ref="J14:J28">+H14*0.08</f>
        <v>49.319111111111106</v>
      </c>
      <c r="K14" s="78">
        <f aca="true" t="shared" si="5" ref="K14:K28">+G14*0.08</f>
        <v>36.98933333333333</v>
      </c>
      <c r="L14" s="78">
        <f aca="true" t="shared" si="6" ref="L14:L28">$F14*0.01</f>
        <v>55.483999999999995</v>
      </c>
      <c r="M14" s="78"/>
      <c r="N14" s="78">
        <f aca="true" t="shared" si="7" ref="N14:N28">$G14*0.01</f>
        <v>4.623666666666666</v>
      </c>
      <c r="O14" s="78">
        <f>SUM(F14/12)</f>
        <v>462.3666666666666</v>
      </c>
      <c r="P14" s="78">
        <f aca="true" t="shared" si="8" ref="P14:P28">SUM(O14*0.08)</f>
        <v>36.98933333333333</v>
      </c>
      <c r="Q14" s="78">
        <f aca="true" t="shared" si="9" ref="Q14:Q28">SUM(I14+J14+K14+P14)*50%</f>
        <v>283.5848888888889</v>
      </c>
      <c r="R14" s="78">
        <f>((F14-S14)*22.5%)-602.96</f>
        <v>508.10709999999995</v>
      </c>
      <c r="S14" s="78">
        <f aca="true" t="shared" si="10" ref="S14:S28">F14*11%</f>
        <v>610.324</v>
      </c>
      <c r="T14" s="78">
        <f>14*22</f>
        <v>308</v>
      </c>
      <c r="U14" s="79">
        <f aca="true" t="shared" si="11" ref="U14:U28">(2.45*2)*22</f>
        <v>107.80000000000001</v>
      </c>
      <c r="V14" s="78">
        <v>20.75</v>
      </c>
      <c r="W14" s="78">
        <v>50</v>
      </c>
      <c r="X14" s="79">
        <f>(D14+G14+H14+I14+J14+K14+L14+M14+N14+Q14+O14+T14+U14+V14+P14+E14+W14)</f>
        <v>8487.034555555554</v>
      </c>
      <c r="Y14" s="79">
        <f aca="true" t="shared" si="12" ref="Y14:Y28">X14*11</f>
        <v>93357.3801111111</v>
      </c>
      <c r="Z14" s="2"/>
    </row>
    <row r="15" spans="1:26" ht="12.75">
      <c r="A15" s="76" t="s">
        <v>51</v>
      </c>
      <c r="B15" s="171" t="s">
        <v>429</v>
      </c>
      <c r="C15" s="77">
        <v>1</v>
      </c>
      <c r="D15" s="176">
        <f>'MEDIA SAL PREFEIT'!H12</f>
        <v>3573.68</v>
      </c>
      <c r="E15" s="79"/>
      <c r="F15" s="80">
        <f t="shared" si="0"/>
        <v>3573.68</v>
      </c>
      <c r="G15" s="78">
        <f t="shared" si="1"/>
        <v>297.8066666666667</v>
      </c>
      <c r="H15" s="78">
        <f t="shared" si="2"/>
        <v>397.0755555555556</v>
      </c>
      <c r="I15" s="78">
        <f t="shared" si="3"/>
        <v>285.8944</v>
      </c>
      <c r="J15" s="78">
        <f t="shared" si="4"/>
        <v>31.766044444444447</v>
      </c>
      <c r="K15" s="78">
        <f t="shared" si="5"/>
        <v>23.824533333333335</v>
      </c>
      <c r="L15" s="78">
        <f t="shared" si="6"/>
        <v>35.7368</v>
      </c>
      <c r="M15" s="78"/>
      <c r="N15" s="78">
        <f t="shared" si="7"/>
        <v>2.978066666666667</v>
      </c>
      <c r="O15" s="78">
        <f aca="true" t="shared" si="13" ref="O15:O28">SUM(F15/12)</f>
        <v>297.8066666666667</v>
      </c>
      <c r="P15" s="78">
        <f t="shared" si="8"/>
        <v>23.824533333333335</v>
      </c>
      <c r="Q15" s="78">
        <f t="shared" si="9"/>
        <v>182.65475555555554</v>
      </c>
      <c r="R15" s="78">
        <f>((F15-S15)*7.5%)-134.08</f>
        <v>104.46313999999995</v>
      </c>
      <c r="S15" s="78">
        <f t="shared" si="10"/>
        <v>393.1048</v>
      </c>
      <c r="T15" s="78">
        <f aca="true" t="shared" si="14" ref="T15:T20">14*22</f>
        <v>308</v>
      </c>
      <c r="U15" s="79">
        <f t="shared" si="11"/>
        <v>107.80000000000001</v>
      </c>
      <c r="V15" s="78">
        <v>20.75</v>
      </c>
      <c r="W15" s="78">
        <v>50</v>
      </c>
      <c r="X15" s="79">
        <f aca="true" t="shared" si="15" ref="X15:X28">(D15+G15+H15+I15+J15+K15+L15+M15+N15+Q15+O15+T15+U15+V15+P15+E15+W15)</f>
        <v>5639.5980222222215</v>
      </c>
      <c r="Y15" s="79">
        <f t="shared" si="12"/>
        <v>62035.578244444434</v>
      </c>
      <c r="Z15" s="2"/>
    </row>
    <row r="16" spans="1:26" ht="12.75">
      <c r="A16" s="76" t="s">
        <v>52</v>
      </c>
      <c r="B16" s="172" t="s">
        <v>430</v>
      </c>
      <c r="C16" s="77">
        <v>1</v>
      </c>
      <c r="D16" s="176">
        <f>'MEDIA SAL PREFEIT'!H13</f>
        <v>3573.68</v>
      </c>
      <c r="E16" s="79"/>
      <c r="F16" s="80">
        <f t="shared" si="0"/>
        <v>3573.68</v>
      </c>
      <c r="G16" s="78">
        <f t="shared" si="1"/>
        <v>297.8066666666667</v>
      </c>
      <c r="H16" s="78">
        <f t="shared" si="2"/>
        <v>397.0755555555556</v>
      </c>
      <c r="I16" s="78">
        <f t="shared" si="3"/>
        <v>285.8944</v>
      </c>
      <c r="J16" s="78">
        <f t="shared" si="4"/>
        <v>31.766044444444447</v>
      </c>
      <c r="K16" s="78">
        <f t="shared" si="5"/>
        <v>23.824533333333335</v>
      </c>
      <c r="L16" s="78">
        <f t="shared" si="6"/>
        <v>35.7368</v>
      </c>
      <c r="M16" s="78"/>
      <c r="N16" s="78">
        <f t="shared" si="7"/>
        <v>2.978066666666667</v>
      </c>
      <c r="O16" s="78">
        <f t="shared" si="13"/>
        <v>297.8066666666667</v>
      </c>
      <c r="P16" s="78">
        <f t="shared" si="8"/>
        <v>23.824533333333335</v>
      </c>
      <c r="Q16" s="78">
        <f t="shared" si="9"/>
        <v>182.65475555555554</v>
      </c>
      <c r="R16" s="78">
        <f>((F16-S16)*7.5%)-134.08</f>
        <v>104.46313999999995</v>
      </c>
      <c r="S16" s="78">
        <f t="shared" si="10"/>
        <v>393.1048</v>
      </c>
      <c r="T16" s="78">
        <f t="shared" si="14"/>
        <v>308</v>
      </c>
      <c r="U16" s="79">
        <f t="shared" si="11"/>
        <v>107.80000000000001</v>
      </c>
      <c r="V16" s="78">
        <v>20.75</v>
      </c>
      <c r="W16" s="78">
        <v>50</v>
      </c>
      <c r="X16" s="79">
        <f t="shared" si="15"/>
        <v>5639.5980222222215</v>
      </c>
      <c r="Y16" s="79">
        <f t="shared" si="12"/>
        <v>62035.578244444434</v>
      </c>
      <c r="Z16" s="2"/>
    </row>
    <row r="17" spans="1:26" ht="12.75">
      <c r="A17" s="76" t="s">
        <v>53</v>
      </c>
      <c r="B17" s="172" t="s">
        <v>432</v>
      </c>
      <c r="C17" s="77">
        <v>1</v>
      </c>
      <c r="D17" s="176">
        <f>'MEDIA SAL PREFEIT'!H14</f>
        <v>2878.13</v>
      </c>
      <c r="E17" s="79"/>
      <c r="F17" s="80">
        <f t="shared" si="0"/>
        <v>2878.13</v>
      </c>
      <c r="G17" s="78">
        <f t="shared" si="1"/>
        <v>239.84416666666667</v>
      </c>
      <c r="H17" s="78">
        <f t="shared" si="2"/>
        <v>319.7922222222222</v>
      </c>
      <c r="I17" s="78">
        <f t="shared" si="3"/>
        <v>230.2504</v>
      </c>
      <c r="J17" s="78">
        <f t="shared" si="4"/>
        <v>25.583377777777777</v>
      </c>
      <c r="K17" s="78">
        <f t="shared" si="5"/>
        <v>19.187533333333334</v>
      </c>
      <c r="L17" s="78">
        <f t="shared" si="6"/>
        <v>28.7813</v>
      </c>
      <c r="M17" s="78"/>
      <c r="N17" s="78">
        <f t="shared" si="7"/>
        <v>2.398441666666667</v>
      </c>
      <c r="O17" s="78">
        <f t="shared" si="13"/>
        <v>239.84416666666667</v>
      </c>
      <c r="P17" s="78">
        <f t="shared" si="8"/>
        <v>19.187533333333334</v>
      </c>
      <c r="Q17" s="78">
        <f t="shared" si="9"/>
        <v>147.10442222222224</v>
      </c>
      <c r="R17" s="78">
        <v>0</v>
      </c>
      <c r="S17" s="78">
        <f t="shared" si="10"/>
        <v>316.59430000000003</v>
      </c>
      <c r="T17" s="78">
        <f t="shared" si="14"/>
        <v>308</v>
      </c>
      <c r="U17" s="79">
        <f t="shared" si="11"/>
        <v>107.80000000000001</v>
      </c>
      <c r="V17" s="78">
        <v>20.75</v>
      </c>
      <c r="W17" s="78">
        <v>50</v>
      </c>
      <c r="X17" s="79">
        <f t="shared" si="15"/>
        <v>4636.65356388889</v>
      </c>
      <c r="Y17" s="79">
        <f t="shared" si="12"/>
        <v>51003.18920277779</v>
      </c>
      <c r="Z17" s="2"/>
    </row>
    <row r="18" spans="1:26" ht="12.75">
      <c r="A18" s="76" t="s">
        <v>54</v>
      </c>
      <c r="B18" s="172" t="s">
        <v>433</v>
      </c>
      <c r="C18" s="77">
        <v>1</v>
      </c>
      <c r="D18" s="176">
        <f>'MEDIA SAL PREFEIT'!H15</f>
        <v>1962.3613636363639</v>
      </c>
      <c r="E18" s="79"/>
      <c r="F18" s="80">
        <f t="shared" si="0"/>
        <v>1962.3613636363639</v>
      </c>
      <c r="G18" s="78">
        <f t="shared" si="1"/>
        <v>163.53011363636367</v>
      </c>
      <c r="H18" s="78">
        <f t="shared" si="2"/>
        <v>218.04015151515156</v>
      </c>
      <c r="I18" s="78">
        <f t="shared" si="3"/>
        <v>156.98890909090912</v>
      </c>
      <c r="J18" s="78">
        <f t="shared" si="4"/>
        <v>17.443212121212124</v>
      </c>
      <c r="K18" s="78">
        <f t="shared" si="5"/>
        <v>13.082409090909094</v>
      </c>
      <c r="L18" s="78">
        <f t="shared" si="6"/>
        <v>19.62361363636364</v>
      </c>
      <c r="M18" s="78"/>
      <c r="N18" s="78">
        <f t="shared" si="7"/>
        <v>1.6353011363636367</v>
      </c>
      <c r="O18" s="78">
        <f t="shared" si="13"/>
        <v>163.53011363636367</v>
      </c>
      <c r="P18" s="78">
        <f t="shared" si="8"/>
        <v>13.082409090909094</v>
      </c>
      <c r="Q18" s="78">
        <f t="shared" si="9"/>
        <v>100.29846969696972</v>
      </c>
      <c r="R18" s="78">
        <v>0</v>
      </c>
      <c r="S18" s="78">
        <f t="shared" si="10"/>
        <v>215.85975000000002</v>
      </c>
      <c r="T18" s="78">
        <f t="shared" si="14"/>
        <v>308</v>
      </c>
      <c r="U18" s="79">
        <f t="shared" si="11"/>
        <v>107.80000000000001</v>
      </c>
      <c r="V18" s="78">
        <v>20.75</v>
      </c>
      <c r="W18" s="78">
        <v>50</v>
      </c>
      <c r="X18" s="79">
        <f t="shared" si="15"/>
        <v>3316.1660662878794</v>
      </c>
      <c r="Y18" s="79">
        <f t="shared" si="12"/>
        <v>36477.82672916667</v>
      </c>
      <c r="Z18" s="2"/>
    </row>
    <row r="19" spans="1:26" ht="12.75">
      <c r="A19" s="76" t="s">
        <v>55</v>
      </c>
      <c r="B19" s="172" t="s">
        <v>434</v>
      </c>
      <c r="C19" s="77">
        <v>1</v>
      </c>
      <c r="D19" s="176">
        <f>'MEDIA SAL PREFEIT'!H16</f>
        <v>2878.13</v>
      </c>
      <c r="E19" s="79"/>
      <c r="F19" s="80">
        <f t="shared" si="0"/>
        <v>2878.13</v>
      </c>
      <c r="G19" s="78">
        <f t="shared" si="1"/>
        <v>239.84416666666667</v>
      </c>
      <c r="H19" s="78">
        <f t="shared" si="2"/>
        <v>319.7922222222222</v>
      </c>
      <c r="I19" s="78">
        <f t="shared" si="3"/>
        <v>230.2504</v>
      </c>
      <c r="J19" s="78">
        <f t="shared" si="4"/>
        <v>25.583377777777777</v>
      </c>
      <c r="K19" s="78">
        <f t="shared" si="5"/>
        <v>19.187533333333334</v>
      </c>
      <c r="L19" s="78">
        <f t="shared" si="6"/>
        <v>28.7813</v>
      </c>
      <c r="M19" s="78"/>
      <c r="N19" s="78">
        <f t="shared" si="7"/>
        <v>2.398441666666667</v>
      </c>
      <c r="O19" s="78">
        <f t="shared" si="13"/>
        <v>239.84416666666667</v>
      </c>
      <c r="P19" s="78">
        <f t="shared" si="8"/>
        <v>19.187533333333334</v>
      </c>
      <c r="Q19" s="78">
        <f t="shared" si="9"/>
        <v>147.10442222222224</v>
      </c>
      <c r="R19" s="78">
        <v>0</v>
      </c>
      <c r="S19" s="78">
        <f t="shared" si="10"/>
        <v>316.59430000000003</v>
      </c>
      <c r="T19" s="78">
        <f t="shared" si="14"/>
        <v>308</v>
      </c>
      <c r="U19" s="79">
        <f t="shared" si="11"/>
        <v>107.80000000000001</v>
      </c>
      <c r="V19" s="78">
        <v>20.75</v>
      </c>
      <c r="W19" s="78">
        <v>50</v>
      </c>
      <c r="X19" s="79">
        <f t="shared" si="15"/>
        <v>4636.65356388889</v>
      </c>
      <c r="Y19" s="79">
        <f t="shared" si="12"/>
        <v>51003.18920277779</v>
      </c>
      <c r="Z19" s="2"/>
    </row>
    <row r="20" spans="1:26" ht="12.75">
      <c r="A20" s="76" t="s">
        <v>56</v>
      </c>
      <c r="B20" s="172" t="s">
        <v>448</v>
      </c>
      <c r="C20" s="77">
        <v>1</v>
      </c>
      <c r="D20" s="176">
        <f>'MEDIA SAL PREFEIT'!H17</f>
        <v>2878.13</v>
      </c>
      <c r="E20" s="79"/>
      <c r="F20" s="80">
        <f t="shared" si="0"/>
        <v>2878.13</v>
      </c>
      <c r="G20" s="78">
        <f t="shared" si="1"/>
        <v>239.84416666666667</v>
      </c>
      <c r="H20" s="78">
        <f t="shared" si="2"/>
        <v>319.7922222222222</v>
      </c>
      <c r="I20" s="78">
        <f t="shared" si="3"/>
        <v>230.2504</v>
      </c>
      <c r="J20" s="78">
        <f t="shared" si="4"/>
        <v>25.583377777777777</v>
      </c>
      <c r="K20" s="78">
        <f t="shared" si="5"/>
        <v>19.187533333333334</v>
      </c>
      <c r="L20" s="78">
        <f t="shared" si="6"/>
        <v>28.7813</v>
      </c>
      <c r="M20" s="78"/>
      <c r="N20" s="78">
        <f t="shared" si="7"/>
        <v>2.398441666666667</v>
      </c>
      <c r="O20" s="78">
        <f t="shared" si="13"/>
        <v>239.84416666666667</v>
      </c>
      <c r="P20" s="78">
        <f t="shared" si="8"/>
        <v>19.187533333333334</v>
      </c>
      <c r="Q20" s="78">
        <f t="shared" si="9"/>
        <v>147.10442222222224</v>
      </c>
      <c r="R20" s="78">
        <v>0</v>
      </c>
      <c r="S20" s="78">
        <f t="shared" si="10"/>
        <v>316.59430000000003</v>
      </c>
      <c r="T20" s="78">
        <f t="shared" si="14"/>
        <v>308</v>
      </c>
      <c r="U20" s="79">
        <f t="shared" si="11"/>
        <v>107.80000000000001</v>
      </c>
      <c r="V20" s="78">
        <v>20.75</v>
      </c>
      <c r="W20" s="78">
        <v>50</v>
      </c>
      <c r="X20" s="79">
        <f t="shared" si="15"/>
        <v>4636.65356388889</v>
      </c>
      <c r="Y20" s="79">
        <f t="shared" si="12"/>
        <v>51003.18920277779</v>
      </c>
      <c r="Z20" s="2"/>
    </row>
    <row r="21" spans="1:26" ht="12.75">
      <c r="A21" s="76" t="s">
        <v>57</v>
      </c>
      <c r="B21" s="172" t="s">
        <v>441</v>
      </c>
      <c r="C21" s="81">
        <v>3</v>
      </c>
      <c r="D21" s="176">
        <f>'MEDIA SAL PREFEIT'!H18</f>
        <v>670.08</v>
      </c>
      <c r="E21" s="79"/>
      <c r="F21" s="80">
        <f t="shared" si="0"/>
        <v>2010.2400000000002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8"/>
      <c r="S21" s="78"/>
      <c r="T21" s="78"/>
      <c r="U21" s="79"/>
      <c r="V21" s="78"/>
      <c r="W21" s="78"/>
      <c r="X21" s="79">
        <f t="shared" si="15"/>
        <v>670.08</v>
      </c>
      <c r="Y21" s="79">
        <f t="shared" si="12"/>
        <v>7370.88</v>
      </c>
      <c r="Z21" s="3"/>
    </row>
    <row r="22" spans="1:26" ht="12.75">
      <c r="A22" s="76" t="s">
        <v>58</v>
      </c>
      <c r="B22" s="172" t="s">
        <v>435</v>
      </c>
      <c r="C22" s="81">
        <v>3</v>
      </c>
      <c r="D22" s="176">
        <f>'MEDIA SAL PREFEIT'!H19</f>
        <v>2878.13</v>
      </c>
      <c r="E22" s="79"/>
      <c r="F22" s="80">
        <f t="shared" si="0"/>
        <v>8634.39</v>
      </c>
      <c r="G22" s="79">
        <f t="shared" si="1"/>
        <v>719.5324999999999</v>
      </c>
      <c r="H22" s="79">
        <f t="shared" si="2"/>
        <v>959.3766666666666</v>
      </c>
      <c r="I22" s="79">
        <f t="shared" si="3"/>
        <v>690.7511999999999</v>
      </c>
      <c r="J22" s="79">
        <f t="shared" si="4"/>
        <v>76.75013333333332</v>
      </c>
      <c r="K22" s="79">
        <f t="shared" si="5"/>
        <v>57.562599999999996</v>
      </c>
      <c r="L22" s="79">
        <f t="shared" si="6"/>
        <v>86.34389999999999</v>
      </c>
      <c r="M22" s="79"/>
      <c r="N22" s="79">
        <f t="shared" si="7"/>
        <v>7.1953249999999995</v>
      </c>
      <c r="O22" s="79">
        <f t="shared" si="13"/>
        <v>719.5324999999999</v>
      </c>
      <c r="P22" s="79">
        <f t="shared" si="8"/>
        <v>57.562599999999996</v>
      </c>
      <c r="Q22" s="79">
        <f t="shared" si="9"/>
        <v>441.3132666666666</v>
      </c>
      <c r="R22" s="78">
        <f aca="true" t="shared" si="16" ref="R22:R28">((F22-S22)*7.5%)-134.08</f>
        <v>442.26553249999984</v>
      </c>
      <c r="S22" s="78">
        <f t="shared" si="10"/>
        <v>949.7828999999999</v>
      </c>
      <c r="T22" s="78">
        <f>14*22</f>
        <v>308</v>
      </c>
      <c r="U22" s="79">
        <f t="shared" si="11"/>
        <v>107.80000000000001</v>
      </c>
      <c r="V22" s="78">
        <v>20.75</v>
      </c>
      <c r="W22" s="78">
        <v>50</v>
      </c>
      <c r="X22" s="79">
        <f t="shared" si="15"/>
        <v>7180.6006916666665</v>
      </c>
      <c r="Y22" s="79">
        <f t="shared" si="12"/>
        <v>78986.60760833333</v>
      </c>
      <c r="Z22" s="3"/>
    </row>
    <row r="23" spans="1:26" ht="12.75">
      <c r="A23" s="76" t="s">
        <v>59</v>
      </c>
      <c r="B23" s="173" t="s">
        <v>442</v>
      </c>
      <c r="C23" s="81">
        <v>36</v>
      </c>
      <c r="D23" s="176">
        <f>'MEDIA SAL PREFEIT'!H20</f>
        <v>1923.28</v>
      </c>
      <c r="E23" s="79"/>
      <c r="F23" s="80">
        <f t="shared" si="0"/>
        <v>69238.08</v>
      </c>
      <c r="G23" s="79">
        <f t="shared" si="1"/>
        <v>5769.84</v>
      </c>
      <c r="H23" s="79">
        <f t="shared" si="2"/>
        <v>7693.12</v>
      </c>
      <c r="I23" s="79">
        <f t="shared" si="3"/>
        <v>5539.0464</v>
      </c>
      <c r="J23" s="79">
        <f t="shared" si="4"/>
        <v>615.4496</v>
      </c>
      <c r="K23" s="79">
        <f t="shared" si="5"/>
        <v>461.5872</v>
      </c>
      <c r="L23" s="79">
        <f t="shared" si="6"/>
        <v>692.3808</v>
      </c>
      <c r="M23" s="79"/>
      <c r="N23" s="79">
        <f t="shared" si="7"/>
        <v>57.6984</v>
      </c>
      <c r="O23" s="79">
        <f t="shared" si="13"/>
        <v>5769.84</v>
      </c>
      <c r="P23" s="79">
        <f t="shared" si="8"/>
        <v>461.5872</v>
      </c>
      <c r="Q23" s="79">
        <f t="shared" si="9"/>
        <v>3538.8352</v>
      </c>
      <c r="R23" s="78">
        <f t="shared" si="16"/>
        <v>4487.561839999999</v>
      </c>
      <c r="S23" s="78">
        <f t="shared" si="10"/>
        <v>7616.1888</v>
      </c>
      <c r="T23" s="78">
        <f aca="true" t="shared" si="17" ref="T23:T28">T22</f>
        <v>308</v>
      </c>
      <c r="U23" s="79">
        <f t="shared" si="11"/>
        <v>107.80000000000001</v>
      </c>
      <c r="V23" s="78">
        <v>20.75</v>
      </c>
      <c r="W23" s="78">
        <v>50</v>
      </c>
      <c r="X23" s="79">
        <f t="shared" si="15"/>
        <v>33009.2148</v>
      </c>
      <c r="Y23" s="79">
        <f t="shared" si="12"/>
        <v>363101.3628</v>
      </c>
      <c r="Z23" s="3"/>
    </row>
    <row r="24" spans="1:26" ht="12.75">
      <c r="A24" s="76" t="s">
        <v>60</v>
      </c>
      <c r="B24" s="173" t="s">
        <v>443</v>
      </c>
      <c r="C24" s="81">
        <v>24</v>
      </c>
      <c r="D24" s="176">
        <f>'MEDIA SAL PREFEIT'!H20</f>
        <v>1923.28</v>
      </c>
      <c r="E24" s="79">
        <f>D24*25%</f>
        <v>480.82</v>
      </c>
      <c r="F24" s="80">
        <f>(D24+E24)*C24</f>
        <v>57698.399999999994</v>
      </c>
      <c r="G24" s="79">
        <f t="shared" si="1"/>
        <v>4808.2</v>
      </c>
      <c r="H24" s="79">
        <f t="shared" si="2"/>
        <v>6410.933333333333</v>
      </c>
      <c r="I24" s="79">
        <f t="shared" si="3"/>
        <v>4615.871999999999</v>
      </c>
      <c r="J24" s="79">
        <f t="shared" si="4"/>
        <v>512.8746666666667</v>
      </c>
      <c r="K24" s="79">
        <f t="shared" si="5"/>
        <v>384.656</v>
      </c>
      <c r="L24" s="79">
        <f t="shared" si="6"/>
        <v>576.9839999999999</v>
      </c>
      <c r="M24" s="79"/>
      <c r="N24" s="79">
        <f t="shared" si="7"/>
        <v>48.082</v>
      </c>
      <c r="O24" s="79">
        <f t="shared" si="13"/>
        <v>4808.2</v>
      </c>
      <c r="P24" s="79">
        <f t="shared" si="8"/>
        <v>384.656</v>
      </c>
      <c r="Q24" s="79">
        <f t="shared" si="9"/>
        <v>2949.029333333333</v>
      </c>
      <c r="R24" s="78">
        <f t="shared" si="16"/>
        <v>3717.2881999999995</v>
      </c>
      <c r="S24" s="78">
        <f t="shared" si="10"/>
        <v>6346.824</v>
      </c>
      <c r="T24" s="78">
        <f t="shared" si="17"/>
        <v>308</v>
      </c>
      <c r="U24" s="79"/>
      <c r="V24" s="78"/>
      <c r="W24" s="78"/>
      <c r="X24" s="79"/>
      <c r="Y24" s="79"/>
      <c r="Z24" s="3"/>
    </row>
    <row r="25" spans="1:26" ht="12.75">
      <c r="A25" s="76" t="s">
        <v>61</v>
      </c>
      <c r="B25" s="173" t="s">
        <v>436</v>
      </c>
      <c r="C25" s="81">
        <v>6</v>
      </c>
      <c r="D25" s="176">
        <f>'MEDIA SAL PREFEIT'!H21</f>
        <v>932.08</v>
      </c>
      <c r="E25" s="79"/>
      <c r="F25" s="80">
        <f>D25*C25</f>
        <v>5592.4800000000005</v>
      </c>
      <c r="G25" s="79">
        <f t="shared" si="1"/>
        <v>466.04</v>
      </c>
      <c r="H25" s="79">
        <f t="shared" si="2"/>
        <v>621.3866666666667</v>
      </c>
      <c r="I25" s="79">
        <f t="shared" si="3"/>
        <v>447.39840000000004</v>
      </c>
      <c r="J25" s="79">
        <f t="shared" si="4"/>
        <v>49.71093333333334</v>
      </c>
      <c r="K25" s="79">
        <f t="shared" si="5"/>
        <v>37.2832</v>
      </c>
      <c r="L25" s="79">
        <f t="shared" si="6"/>
        <v>55.924800000000005</v>
      </c>
      <c r="M25" s="79"/>
      <c r="N25" s="79">
        <f t="shared" si="7"/>
        <v>4.6604</v>
      </c>
      <c r="O25" s="79">
        <f t="shared" si="13"/>
        <v>466.04</v>
      </c>
      <c r="P25" s="79">
        <f t="shared" si="8"/>
        <v>37.2832</v>
      </c>
      <c r="Q25" s="79">
        <f t="shared" si="9"/>
        <v>285.8378666666667</v>
      </c>
      <c r="R25" s="78">
        <f t="shared" si="16"/>
        <v>239.21804</v>
      </c>
      <c r="S25" s="78">
        <f t="shared" si="10"/>
        <v>615.1728</v>
      </c>
      <c r="T25" s="78">
        <f t="shared" si="17"/>
        <v>308</v>
      </c>
      <c r="U25" s="79">
        <f t="shared" si="11"/>
        <v>107.80000000000001</v>
      </c>
      <c r="V25" s="78">
        <v>20.75</v>
      </c>
      <c r="W25" s="78">
        <v>50</v>
      </c>
      <c r="X25" s="79">
        <f t="shared" si="15"/>
        <v>3890.1954666666666</v>
      </c>
      <c r="Y25" s="79">
        <f t="shared" si="12"/>
        <v>42792.15013333333</v>
      </c>
      <c r="Z25" s="3"/>
    </row>
    <row r="26" spans="1:26" ht="12.75">
      <c r="A26" s="76" t="s">
        <v>62</v>
      </c>
      <c r="B26" s="173" t="s">
        <v>438</v>
      </c>
      <c r="C26" s="81">
        <v>1</v>
      </c>
      <c r="D26" s="176">
        <f>'MEDIA SAL PREFEIT'!H22</f>
        <v>1584.9099999999999</v>
      </c>
      <c r="E26" s="79"/>
      <c r="F26" s="80">
        <f>D26*C26</f>
        <v>1584.9099999999999</v>
      </c>
      <c r="G26" s="79">
        <f t="shared" si="1"/>
        <v>132.07583333333332</v>
      </c>
      <c r="H26" s="79">
        <f t="shared" si="2"/>
        <v>176.1011111111111</v>
      </c>
      <c r="I26" s="79">
        <f t="shared" si="3"/>
        <v>126.79279999999999</v>
      </c>
      <c r="J26" s="79">
        <f t="shared" si="4"/>
        <v>14.088088888888889</v>
      </c>
      <c r="K26" s="79">
        <f t="shared" si="5"/>
        <v>10.566066666666666</v>
      </c>
      <c r="L26" s="79">
        <f t="shared" si="6"/>
        <v>15.849099999999998</v>
      </c>
      <c r="M26" s="79"/>
      <c r="N26" s="79">
        <f t="shared" si="7"/>
        <v>1.3207583333333333</v>
      </c>
      <c r="O26" s="79">
        <f t="shared" si="13"/>
        <v>132.07583333333332</v>
      </c>
      <c r="P26" s="79">
        <f t="shared" si="8"/>
        <v>10.566066666666666</v>
      </c>
      <c r="Q26" s="79">
        <f t="shared" si="9"/>
        <v>81.00651111111111</v>
      </c>
      <c r="R26" s="78">
        <v>0</v>
      </c>
      <c r="S26" s="78">
        <f t="shared" si="10"/>
        <v>174.34009999999998</v>
      </c>
      <c r="T26" s="78">
        <f t="shared" si="17"/>
        <v>308</v>
      </c>
      <c r="U26" s="79">
        <f t="shared" si="11"/>
        <v>107.80000000000001</v>
      </c>
      <c r="V26" s="78">
        <v>20.75</v>
      </c>
      <c r="W26" s="78">
        <v>50</v>
      </c>
      <c r="X26" s="79">
        <f t="shared" si="15"/>
        <v>2771.9021694444446</v>
      </c>
      <c r="Y26" s="79">
        <f t="shared" si="12"/>
        <v>30490.92386388889</v>
      </c>
      <c r="Z26" s="3"/>
    </row>
    <row r="27" spans="1:26" ht="12.75">
      <c r="A27" s="76" t="s">
        <v>63</v>
      </c>
      <c r="B27" s="173" t="s">
        <v>437</v>
      </c>
      <c r="C27" s="81">
        <v>3</v>
      </c>
      <c r="D27" s="176">
        <f>'MEDIA SAL PREFEIT'!H23</f>
        <v>1162.66</v>
      </c>
      <c r="E27" s="79"/>
      <c r="F27" s="80">
        <f>D27*C27</f>
        <v>3487.9800000000005</v>
      </c>
      <c r="G27" s="79">
        <f t="shared" si="1"/>
        <v>290.665</v>
      </c>
      <c r="H27" s="79">
        <f t="shared" si="2"/>
        <v>387.55333333333334</v>
      </c>
      <c r="I27" s="79">
        <f t="shared" si="3"/>
        <v>279.0384</v>
      </c>
      <c r="J27" s="79">
        <f t="shared" si="4"/>
        <v>31.00426666666667</v>
      </c>
      <c r="K27" s="79">
        <f t="shared" si="5"/>
        <v>23.253200000000003</v>
      </c>
      <c r="L27" s="79">
        <f t="shared" si="6"/>
        <v>34.8798</v>
      </c>
      <c r="M27" s="79"/>
      <c r="N27" s="79">
        <f t="shared" si="7"/>
        <v>2.9066500000000004</v>
      </c>
      <c r="O27" s="79">
        <f t="shared" si="13"/>
        <v>290.665</v>
      </c>
      <c r="P27" s="79">
        <f t="shared" si="8"/>
        <v>23.253200000000003</v>
      </c>
      <c r="Q27" s="79">
        <f t="shared" si="9"/>
        <v>178.27453333333335</v>
      </c>
      <c r="R27" s="78">
        <f t="shared" si="16"/>
        <v>98.74266500000002</v>
      </c>
      <c r="S27" s="78">
        <f t="shared" si="10"/>
        <v>383.67780000000005</v>
      </c>
      <c r="T27" s="78">
        <f t="shared" si="17"/>
        <v>308</v>
      </c>
      <c r="U27" s="79">
        <f t="shared" si="11"/>
        <v>107.80000000000001</v>
      </c>
      <c r="V27" s="78">
        <v>20.75</v>
      </c>
      <c r="W27" s="78">
        <v>50</v>
      </c>
      <c r="X27" s="79">
        <f t="shared" si="15"/>
        <v>3190.703383333334</v>
      </c>
      <c r="Y27" s="79">
        <f t="shared" si="12"/>
        <v>35097.737216666676</v>
      </c>
      <c r="Z27" s="3"/>
    </row>
    <row r="28" spans="1:26" ht="12.75">
      <c r="A28" s="76" t="s">
        <v>64</v>
      </c>
      <c r="B28" s="173" t="s">
        <v>444</v>
      </c>
      <c r="C28" s="81">
        <v>3</v>
      </c>
      <c r="D28" s="176">
        <f>'MEDIA SAL PREFEIT'!H24</f>
        <v>932.08</v>
      </c>
      <c r="E28" s="79"/>
      <c r="F28" s="80">
        <f>D28*C28</f>
        <v>2796.2400000000002</v>
      </c>
      <c r="G28" s="79">
        <f t="shared" si="1"/>
        <v>233.02</v>
      </c>
      <c r="H28" s="79">
        <f t="shared" si="2"/>
        <v>310.6933333333333</v>
      </c>
      <c r="I28" s="79">
        <f t="shared" si="3"/>
        <v>223.69920000000002</v>
      </c>
      <c r="J28" s="79">
        <f t="shared" si="4"/>
        <v>24.85546666666667</v>
      </c>
      <c r="K28" s="79">
        <f t="shared" si="5"/>
        <v>18.6416</v>
      </c>
      <c r="L28" s="79">
        <f t="shared" si="6"/>
        <v>27.962400000000002</v>
      </c>
      <c r="M28" s="79"/>
      <c r="N28" s="79">
        <f t="shared" si="7"/>
        <v>2.3302</v>
      </c>
      <c r="O28" s="79">
        <f t="shared" si="13"/>
        <v>233.02</v>
      </c>
      <c r="P28" s="79">
        <f t="shared" si="8"/>
        <v>18.6416</v>
      </c>
      <c r="Q28" s="79">
        <f t="shared" si="9"/>
        <v>142.91893333333334</v>
      </c>
      <c r="R28" s="78">
        <f t="shared" si="16"/>
        <v>52.569019999999995</v>
      </c>
      <c r="S28" s="78">
        <f t="shared" si="10"/>
        <v>307.5864</v>
      </c>
      <c r="T28" s="78">
        <f t="shared" si="17"/>
        <v>308</v>
      </c>
      <c r="U28" s="79">
        <f t="shared" si="11"/>
        <v>107.80000000000001</v>
      </c>
      <c r="V28" s="78">
        <v>20.75</v>
      </c>
      <c r="W28" s="78">
        <v>50</v>
      </c>
      <c r="X28" s="79">
        <f t="shared" si="15"/>
        <v>2654.412733333334</v>
      </c>
      <c r="Y28" s="79">
        <f t="shared" si="12"/>
        <v>29198.540066666676</v>
      </c>
      <c r="Z28" s="3"/>
    </row>
    <row r="29" spans="1:26" ht="12.75">
      <c r="A29" s="82"/>
      <c r="B29" s="83" t="s">
        <v>65</v>
      </c>
      <c r="C29" s="83">
        <f aca="true" t="shared" si="18" ref="C29:Y29">SUM(C14:C28)</f>
        <v>86</v>
      </c>
      <c r="D29" s="84">
        <f t="shared" si="18"/>
        <v>35299.01136363637</v>
      </c>
      <c r="E29" s="84">
        <f t="shared" si="18"/>
        <v>480.82</v>
      </c>
      <c r="F29" s="84">
        <f t="shared" si="18"/>
        <v>174335.23136363638</v>
      </c>
      <c r="G29" s="84">
        <f t="shared" si="18"/>
        <v>14360.415946969697</v>
      </c>
      <c r="H29" s="84">
        <f t="shared" si="18"/>
        <v>19147.221262626263</v>
      </c>
      <c r="I29" s="84">
        <f t="shared" si="18"/>
        <v>13785.999309090908</v>
      </c>
      <c r="J29" s="84">
        <f t="shared" si="18"/>
        <v>1531.777701010101</v>
      </c>
      <c r="K29" s="84">
        <f t="shared" si="18"/>
        <v>1148.8332757575758</v>
      </c>
      <c r="L29" s="84">
        <f t="shared" si="18"/>
        <v>1723.2499136363635</v>
      </c>
      <c r="M29" s="84">
        <f t="shared" si="18"/>
        <v>0</v>
      </c>
      <c r="N29" s="84">
        <f t="shared" si="18"/>
        <v>143.60415946969698</v>
      </c>
      <c r="O29" s="84">
        <f t="shared" si="18"/>
        <v>14360.415946969697</v>
      </c>
      <c r="P29" s="84">
        <f t="shared" si="18"/>
        <v>1148.8332757575758</v>
      </c>
      <c r="Q29" s="84">
        <f t="shared" si="18"/>
        <v>8807.721780808079</v>
      </c>
      <c r="R29" s="150">
        <f t="shared" si="18"/>
        <v>9754.678677499998</v>
      </c>
      <c r="S29" s="150">
        <f t="shared" si="18"/>
        <v>18955.749050000002</v>
      </c>
      <c r="T29" s="151">
        <f t="shared" si="18"/>
        <v>4312</v>
      </c>
      <c r="U29" s="151">
        <f t="shared" si="18"/>
        <v>1401.3999999999996</v>
      </c>
      <c r="V29" s="151">
        <f t="shared" si="18"/>
        <v>269.75</v>
      </c>
      <c r="W29" s="151">
        <f t="shared" si="18"/>
        <v>650</v>
      </c>
      <c r="X29" s="151">
        <f t="shared" si="18"/>
        <v>90359.46660239898</v>
      </c>
      <c r="Y29" s="151">
        <f t="shared" si="18"/>
        <v>993954.1326263889</v>
      </c>
      <c r="Z29" s="2"/>
    </row>
    <row r="30" spans="1:26" ht="15" customHeight="1">
      <c r="A30" s="414" t="s">
        <v>66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6"/>
      <c r="X30" s="79">
        <v>100</v>
      </c>
      <c r="Y30" s="79">
        <v>0</v>
      </c>
      <c r="Z30" s="2"/>
    </row>
    <row r="31" spans="1:26" ht="15" customHeight="1">
      <c r="A31" s="414" t="s">
        <v>450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6"/>
      <c r="X31" s="79">
        <v>731</v>
      </c>
      <c r="Y31" s="79">
        <v>8041</v>
      </c>
      <c r="Z31" s="2"/>
    </row>
    <row r="32" spans="1:26" ht="15" customHeight="1">
      <c r="A32" s="417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9"/>
      <c r="X32" s="79"/>
      <c r="Y32" s="79">
        <v>0</v>
      </c>
      <c r="Z32" s="2"/>
    </row>
    <row r="33" spans="1:25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  <c r="X33" s="87">
        <f>SUM(X29:X32)</f>
        <v>91190.46660239898</v>
      </c>
      <c r="Y33" s="88">
        <f>Y29+Y30+Y31+Y32</f>
        <v>1001995.1326263889</v>
      </c>
    </row>
    <row r="34" spans="1:25" ht="15" customHeight="1">
      <c r="A34" s="401" t="s">
        <v>67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3"/>
      <c r="X34" s="407">
        <f>Y33+X33</f>
        <v>1093185.599228788</v>
      </c>
      <c r="Y34" s="408"/>
    </row>
    <row r="35" spans="1:26" ht="15" customHeight="1">
      <c r="A35" s="404"/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6"/>
      <c r="X35" s="409"/>
      <c r="Y35" s="410"/>
      <c r="Z35" s="2"/>
    </row>
    <row r="36" spans="1:26" ht="12.75">
      <c r="A36" s="42"/>
      <c r="B36" s="42"/>
      <c r="C36" s="42"/>
      <c r="D36" s="42"/>
      <c r="E36" s="42"/>
      <c r="F36" s="42"/>
      <c r="G36" s="42"/>
      <c r="H36" s="42"/>
      <c r="I36" s="4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63.75" customHeight="1">
      <c r="A40" s="411" t="s">
        <v>420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</sheetData>
  <sheetProtection/>
  <mergeCells count="19">
    <mergeCell ref="A9:Y9"/>
    <mergeCell ref="X10:Y10"/>
    <mergeCell ref="A12:A13"/>
    <mergeCell ref="B12:B13"/>
    <mergeCell ref="C12:C13"/>
    <mergeCell ref="D12:D13"/>
    <mergeCell ref="E12:E13"/>
    <mergeCell ref="F12:F13"/>
    <mergeCell ref="G12:N12"/>
    <mergeCell ref="T12:V12"/>
    <mergeCell ref="A34:W35"/>
    <mergeCell ref="X34:Y35"/>
    <mergeCell ref="A40:U40"/>
    <mergeCell ref="W12:W13"/>
    <mergeCell ref="X12:X13"/>
    <mergeCell ref="Y12:Y13"/>
    <mergeCell ref="A30:W30"/>
    <mergeCell ref="A31:W31"/>
    <mergeCell ref="A32:W32"/>
  </mergeCells>
  <printOptions/>
  <pageMargins left="0.4724409448818898" right="0" top="0.1968503937007874" bottom="0.5905511811023623" header="0.1968503937007874" footer="0.5118110236220472"/>
  <pageSetup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="145" zoomScaleNormal="145" zoomScalePageLayoutView="0" workbookViewId="0" topLeftCell="A41">
      <selection activeCell="F62" sqref="F62"/>
    </sheetView>
  </sheetViews>
  <sheetFormatPr defaultColWidth="9.140625" defaultRowHeight="15"/>
  <cols>
    <col min="1" max="1" width="6.421875" style="0" customWidth="1"/>
    <col min="2" max="2" width="63.57421875" style="0" customWidth="1"/>
    <col min="3" max="3" width="8.28125" style="0" customWidth="1"/>
    <col min="4" max="4" width="12.7109375" style="0" bestFit="1" customWidth="1"/>
    <col min="5" max="5" width="13.8515625" style="0" bestFit="1" customWidth="1"/>
    <col min="6" max="6" width="11.00390625" style="0" bestFit="1" customWidth="1"/>
  </cols>
  <sheetData>
    <row r="1" spans="1:5" s="1" customFormat="1" ht="15.75">
      <c r="A1" s="90"/>
      <c r="B1" s="90"/>
      <c r="C1" s="90"/>
      <c r="D1" s="90"/>
      <c r="E1" s="90"/>
    </row>
    <row r="2" spans="1:5" s="1" customFormat="1" ht="15.75">
      <c r="A2" s="90"/>
      <c r="B2" s="90"/>
      <c r="C2" s="90"/>
      <c r="D2" s="90"/>
      <c r="E2" s="90"/>
    </row>
    <row r="3" spans="1:5" s="1" customFormat="1" ht="15.75">
      <c r="A3" s="90"/>
      <c r="B3" s="90"/>
      <c r="C3" s="90"/>
      <c r="D3" s="90"/>
      <c r="E3" s="90"/>
    </row>
    <row r="4" spans="1:5" s="1" customFormat="1" ht="15.75">
      <c r="A4" s="90"/>
      <c r="B4" s="90"/>
      <c r="C4" s="90"/>
      <c r="D4" s="90"/>
      <c r="E4" s="90"/>
    </row>
    <row r="5" spans="1:5" s="1" customFormat="1" ht="15.75">
      <c r="A5" s="90"/>
      <c r="B5" s="90"/>
      <c r="C5" s="90"/>
      <c r="D5" s="90"/>
      <c r="E5" s="90"/>
    </row>
    <row r="6" spans="1:5" s="1" customFormat="1" ht="15.75">
      <c r="A6" s="90"/>
      <c r="B6" s="90"/>
      <c r="C6" s="90"/>
      <c r="D6" s="90"/>
      <c r="E6" s="90"/>
    </row>
    <row r="7" spans="1:5" ht="16.5">
      <c r="A7" s="493" t="s">
        <v>539</v>
      </c>
      <c r="B7" s="493"/>
      <c r="C7" s="493"/>
      <c r="D7" s="493"/>
      <c r="E7" s="493"/>
    </row>
    <row r="8" spans="1:5" ht="33">
      <c r="A8" s="280" t="s">
        <v>98</v>
      </c>
      <c r="B8" s="280" t="s">
        <v>94</v>
      </c>
      <c r="C8" s="280" t="s">
        <v>96</v>
      </c>
      <c r="D8" s="280" t="s">
        <v>87</v>
      </c>
      <c r="E8" s="280" t="s">
        <v>97</v>
      </c>
    </row>
    <row r="9" spans="1:5" ht="16.5" hidden="1">
      <c r="A9" s="236">
        <v>1</v>
      </c>
      <c r="B9" s="241" t="s">
        <v>282</v>
      </c>
      <c r="C9" s="236">
        <v>4</v>
      </c>
      <c r="D9" s="239">
        <v>0</v>
      </c>
      <c r="E9" s="239">
        <f>C9*D9</f>
        <v>0</v>
      </c>
    </row>
    <row r="10" spans="1:5" ht="15" customHeight="1">
      <c r="A10" s="236">
        <v>1</v>
      </c>
      <c r="B10" s="241" t="s">
        <v>573</v>
      </c>
      <c r="C10" s="249">
        <v>120</v>
      </c>
      <c r="D10" s="239"/>
      <c r="E10" s="239"/>
    </row>
    <row r="11" spans="1:5" ht="15" customHeight="1">
      <c r="A11" s="236">
        <v>2</v>
      </c>
      <c r="B11" s="241" t="s">
        <v>664</v>
      </c>
      <c r="C11" s="236">
        <v>72</v>
      </c>
      <c r="D11" s="238"/>
      <c r="E11" s="239"/>
    </row>
    <row r="12" spans="1:5" ht="15" customHeight="1">
      <c r="A12" s="236">
        <v>3</v>
      </c>
      <c r="B12" s="281" t="s">
        <v>284</v>
      </c>
      <c r="C12" s="282">
        <v>44</v>
      </c>
      <c r="D12" s="239"/>
      <c r="E12" s="239"/>
    </row>
    <row r="13" spans="1:5" ht="15" customHeight="1">
      <c r="A13" s="236">
        <v>4</v>
      </c>
      <c r="B13" s="241" t="s">
        <v>285</v>
      </c>
      <c r="C13" s="236">
        <v>36</v>
      </c>
      <c r="D13" s="238"/>
      <c r="E13" s="239"/>
    </row>
    <row r="14" spans="1:5" ht="15" customHeight="1">
      <c r="A14" s="236">
        <v>5</v>
      </c>
      <c r="B14" s="241" t="s">
        <v>286</v>
      </c>
      <c r="C14" s="236">
        <v>36</v>
      </c>
      <c r="D14" s="238"/>
      <c r="E14" s="239"/>
    </row>
    <row r="15" spans="1:5" ht="15" customHeight="1">
      <c r="A15" s="236">
        <v>6</v>
      </c>
      <c r="B15" s="241" t="s">
        <v>287</v>
      </c>
      <c r="C15" s="236">
        <v>36</v>
      </c>
      <c r="D15" s="239"/>
      <c r="E15" s="239"/>
    </row>
    <row r="16" spans="1:5" ht="15" customHeight="1">
      <c r="A16" s="236">
        <v>7</v>
      </c>
      <c r="B16" s="241" t="s">
        <v>288</v>
      </c>
      <c r="C16" s="236">
        <v>4</v>
      </c>
      <c r="D16" s="239"/>
      <c r="E16" s="239"/>
    </row>
    <row r="17" spans="1:5" ht="15" customHeight="1">
      <c r="A17" s="236">
        <v>8</v>
      </c>
      <c r="B17" s="241" t="s">
        <v>289</v>
      </c>
      <c r="C17" s="236">
        <v>25</v>
      </c>
      <c r="D17" s="239"/>
      <c r="E17" s="239"/>
    </row>
    <row r="18" spans="1:5" ht="30" customHeight="1">
      <c r="A18" s="236">
        <v>9</v>
      </c>
      <c r="B18" s="283" t="s">
        <v>290</v>
      </c>
      <c r="C18" s="249">
        <v>6</v>
      </c>
      <c r="D18" s="239"/>
      <c r="E18" s="239"/>
    </row>
    <row r="19" spans="1:5" ht="37.5" customHeight="1">
      <c r="A19" s="236">
        <v>10</v>
      </c>
      <c r="B19" s="283" t="s">
        <v>291</v>
      </c>
      <c r="C19" s="236">
        <v>6</v>
      </c>
      <c r="D19" s="239"/>
      <c r="E19" s="239"/>
    </row>
    <row r="20" spans="1:5" ht="35.25" customHeight="1">
      <c r="A20" s="236">
        <v>11</v>
      </c>
      <c r="B20" s="283" t="s">
        <v>292</v>
      </c>
      <c r="C20" s="236">
        <v>6</v>
      </c>
      <c r="D20" s="239"/>
      <c r="E20" s="239"/>
    </row>
    <row r="21" spans="1:5" ht="15" customHeight="1">
      <c r="A21" s="236">
        <v>12</v>
      </c>
      <c r="B21" s="241" t="s">
        <v>293</v>
      </c>
      <c r="C21" s="236">
        <v>6</v>
      </c>
      <c r="D21" s="239"/>
      <c r="E21" s="239"/>
    </row>
    <row r="22" spans="1:5" ht="15" customHeight="1" hidden="1">
      <c r="A22" s="236">
        <v>13</v>
      </c>
      <c r="B22" s="281" t="s">
        <v>294</v>
      </c>
      <c r="C22" s="249">
        <v>0</v>
      </c>
      <c r="D22" s="239"/>
      <c r="E22" s="239"/>
    </row>
    <row r="23" spans="1:5" ht="15" customHeight="1">
      <c r="A23" s="236">
        <v>14</v>
      </c>
      <c r="B23" s="281" t="s">
        <v>564</v>
      </c>
      <c r="C23" s="249">
        <f>9*2</f>
        <v>18</v>
      </c>
      <c r="D23" s="239"/>
      <c r="E23" s="239"/>
    </row>
    <row r="24" spans="1:5" ht="15" customHeight="1">
      <c r="A24" s="236">
        <v>15</v>
      </c>
      <c r="B24" s="241" t="s">
        <v>295</v>
      </c>
      <c r="C24" s="249">
        <v>4</v>
      </c>
      <c r="D24" s="239"/>
      <c r="E24" s="239"/>
    </row>
    <row r="25" spans="1:6" ht="15" customHeight="1" hidden="1">
      <c r="A25" s="236">
        <v>16</v>
      </c>
      <c r="B25" s="241" t="s">
        <v>296</v>
      </c>
      <c r="C25" s="236">
        <v>0</v>
      </c>
      <c r="D25" s="239"/>
      <c r="E25" s="239"/>
      <c r="F25" s="227"/>
    </row>
    <row r="26" spans="1:5" ht="15" customHeight="1">
      <c r="A26" s="236">
        <v>17</v>
      </c>
      <c r="B26" s="283" t="s">
        <v>297</v>
      </c>
      <c r="C26" s="236">
        <v>6</v>
      </c>
      <c r="D26" s="239"/>
      <c r="E26" s="239"/>
    </row>
    <row r="27" spans="1:5" ht="15" customHeight="1">
      <c r="A27" s="236">
        <v>18</v>
      </c>
      <c r="B27" s="281" t="s">
        <v>298</v>
      </c>
      <c r="C27" s="236">
        <v>6</v>
      </c>
      <c r="D27" s="239"/>
      <c r="E27" s="239"/>
    </row>
    <row r="28" spans="1:5" ht="15" customHeight="1">
      <c r="A28" s="236">
        <v>19</v>
      </c>
      <c r="B28" s="281" t="s">
        <v>299</v>
      </c>
      <c r="C28" s="236">
        <v>6</v>
      </c>
      <c r="D28" s="239"/>
      <c r="E28" s="239"/>
    </row>
    <row r="29" spans="1:5" ht="15" customHeight="1" hidden="1">
      <c r="A29" s="236">
        <v>20</v>
      </c>
      <c r="B29" s="281" t="s">
        <v>300</v>
      </c>
      <c r="C29" s="236">
        <v>6</v>
      </c>
      <c r="D29" s="239"/>
      <c r="E29" s="239"/>
    </row>
    <row r="30" spans="1:5" ht="15" customHeight="1" hidden="1">
      <c r="A30" s="236">
        <v>21</v>
      </c>
      <c r="B30" s="241" t="s">
        <v>301</v>
      </c>
      <c r="C30" s="249">
        <v>100</v>
      </c>
      <c r="D30" s="239"/>
      <c r="E30" s="239"/>
    </row>
    <row r="31" spans="1:5" ht="15" customHeight="1" hidden="1">
      <c r="A31" s="236">
        <v>22</v>
      </c>
      <c r="B31" s="241" t="s">
        <v>302</v>
      </c>
      <c r="C31" s="249">
        <v>100</v>
      </c>
      <c r="D31" s="239"/>
      <c r="E31" s="239"/>
    </row>
    <row r="32" spans="1:5" ht="15" customHeight="1">
      <c r="A32" s="236">
        <v>23</v>
      </c>
      <c r="B32" s="241" t="s">
        <v>303</v>
      </c>
      <c r="C32" s="249">
        <v>3</v>
      </c>
      <c r="D32" s="239"/>
      <c r="E32" s="239"/>
    </row>
    <row r="33" spans="1:5" ht="15" customHeight="1">
      <c r="A33" s="236">
        <v>24</v>
      </c>
      <c r="B33" s="281" t="s">
        <v>304</v>
      </c>
      <c r="C33" s="249">
        <v>3000</v>
      </c>
      <c r="D33" s="239"/>
      <c r="E33" s="239"/>
    </row>
    <row r="34" spans="1:5" ht="15" customHeight="1">
      <c r="A34" s="236">
        <v>25</v>
      </c>
      <c r="B34" s="241" t="s">
        <v>305</v>
      </c>
      <c r="C34" s="249">
        <v>3000</v>
      </c>
      <c r="D34" s="239"/>
      <c r="E34" s="239"/>
    </row>
    <row r="35" spans="1:5" ht="15" customHeight="1">
      <c r="A35" s="236">
        <v>26</v>
      </c>
      <c r="B35" s="281" t="s">
        <v>306</v>
      </c>
      <c r="C35" s="249">
        <v>600</v>
      </c>
      <c r="D35" s="239"/>
      <c r="E35" s="239"/>
    </row>
    <row r="36" spans="1:5" ht="15" customHeight="1">
      <c r="A36" s="236">
        <v>27</v>
      </c>
      <c r="B36" s="241" t="s">
        <v>307</v>
      </c>
      <c r="C36" s="249">
        <v>600</v>
      </c>
      <c r="D36" s="239"/>
      <c r="E36" s="239"/>
    </row>
    <row r="37" spans="1:5" ht="37.5" customHeight="1">
      <c r="A37" s="236">
        <v>28</v>
      </c>
      <c r="B37" s="281" t="s">
        <v>308</v>
      </c>
      <c r="C37" s="249">
        <v>1</v>
      </c>
      <c r="D37" s="239"/>
      <c r="E37" s="239"/>
    </row>
    <row r="38" spans="1:5" ht="15" customHeight="1">
      <c r="A38" s="236">
        <v>29</v>
      </c>
      <c r="B38" s="283" t="s">
        <v>309</v>
      </c>
      <c r="C38" s="249">
        <v>36</v>
      </c>
      <c r="D38" s="239"/>
      <c r="E38" s="239"/>
    </row>
    <row r="39" spans="1:5" ht="15" customHeight="1">
      <c r="A39" s="236">
        <v>30</v>
      </c>
      <c r="B39" s="241" t="s">
        <v>665</v>
      </c>
      <c r="C39" s="249">
        <v>10</v>
      </c>
      <c r="D39" s="250"/>
      <c r="E39" s="239"/>
    </row>
    <row r="40" spans="1:5" ht="15" customHeight="1">
      <c r="A40" s="236">
        <v>31</v>
      </c>
      <c r="B40" s="284" t="s">
        <v>666</v>
      </c>
      <c r="C40" s="249">
        <v>100</v>
      </c>
      <c r="D40" s="239"/>
      <c r="E40" s="239"/>
    </row>
    <row r="41" spans="1:5" ht="15" customHeight="1">
      <c r="A41" s="236">
        <v>32</v>
      </c>
      <c r="B41" s="241" t="s">
        <v>667</v>
      </c>
      <c r="C41" s="236">
        <f>5.52*10</f>
        <v>55.199999999999996</v>
      </c>
      <c r="D41" s="239"/>
      <c r="E41" s="239"/>
    </row>
    <row r="42" spans="1:5" ht="16.5">
      <c r="A42" s="236">
        <v>33</v>
      </c>
      <c r="B42" s="241" t="s">
        <v>310</v>
      </c>
      <c r="C42" s="249">
        <v>45</v>
      </c>
      <c r="D42" s="239"/>
      <c r="E42" s="250"/>
    </row>
    <row r="43" spans="1:5" ht="15" customHeight="1">
      <c r="A43" s="236">
        <v>34</v>
      </c>
      <c r="B43" s="241" t="s">
        <v>668</v>
      </c>
      <c r="C43" s="236">
        <v>45</v>
      </c>
      <c r="D43" s="239"/>
      <c r="E43" s="250"/>
    </row>
    <row r="44" spans="1:5" ht="15" customHeight="1">
      <c r="A44" s="236">
        <v>35</v>
      </c>
      <c r="B44" s="241" t="s">
        <v>669</v>
      </c>
      <c r="C44" s="236">
        <v>30</v>
      </c>
      <c r="D44" s="239"/>
      <c r="E44" s="250"/>
    </row>
    <row r="45" spans="1:5" ht="15" customHeight="1">
      <c r="A45" s="236">
        <v>36</v>
      </c>
      <c r="B45" s="241" t="s">
        <v>311</v>
      </c>
      <c r="C45" s="236">
        <v>50</v>
      </c>
      <c r="D45" s="239"/>
      <c r="E45" s="250"/>
    </row>
    <row r="46" spans="1:5" ht="15" customHeight="1">
      <c r="A46" s="236">
        <v>37</v>
      </c>
      <c r="B46" s="241" t="s">
        <v>530</v>
      </c>
      <c r="C46" s="236">
        <v>30</v>
      </c>
      <c r="D46" s="239"/>
      <c r="E46" s="250"/>
    </row>
    <row r="47" spans="1:5" ht="15" customHeight="1">
      <c r="A47" s="236">
        <v>38</v>
      </c>
      <c r="B47" s="241" t="s">
        <v>538</v>
      </c>
      <c r="C47" s="236">
        <v>12</v>
      </c>
      <c r="D47" s="239"/>
      <c r="E47" s="250"/>
    </row>
    <row r="48" spans="1:5" ht="15" customHeight="1">
      <c r="A48" s="236">
        <v>39</v>
      </c>
      <c r="B48" s="241" t="s">
        <v>576</v>
      </c>
      <c r="C48" s="236">
        <v>3</v>
      </c>
      <c r="D48" s="239"/>
      <c r="E48" s="250"/>
    </row>
    <row r="49" spans="1:5" ht="15" customHeight="1">
      <c r="A49" s="236">
        <v>40</v>
      </c>
      <c r="B49" s="241" t="s">
        <v>577</v>
      </c>
      <c r="C49" s="236">
        <v>12</v>
      </c>
      <c r="D49" s="239"/>
      <c r="E49" s="250"/>
    </row>
    <row r="50" spans="1:5" ht="15" customHeight="1">
      <c r="A50" s="236">
        <v>41</v>
      </c>
      <c r="B50" s="241" t="s">
        <v>578</v>
      </c>
      <c r="C50" s="236">
        <v>1</v>
      </c>
      <c r="D50" s="239"/>
      <c r="E50" s="250"/>
    </row>
    <row r="51" spans="1:5" ht="15" customHeight="1">
      <c r="A51" s="236">
        <v>42</v>
      </c>
      <c r="B51" s="241" t="s">
        <v>579</v>
      </c>
      <c r="C51" s="236">
        <v>12</v>
      </c>
      <c r="D51" s="239"/>
      <c r="E51" s="250"/>
    </row>
    <row r="52" spans="1:5" ht="15" customHeight="1">
      <c r="A52" s="501" t="s">
        <v>132</v>
      </c>
      <c r="B52" s="501"/>
      <c r="C52" s="501"/>
      <c r="D52" s="501"/>
      <c r="E52" s="257"/>
    </row>
  </sheetData>
  <sheetProtection/>
  <mergeCells count="2">
    <mergeCell ref="A52:D52"/>
    <mergeCell ref="A7:E7"/>
  </mergeCells>
  <printOptions/>
  <pageMargins left="0.9055118110236221" right="0.5118110236220472" top="0.4330708661417323" bottom="0.6299212598425197" header="0.31496062992125984" footer="0.5118110236220472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zoomScale="115" zoomScaleNormal="115" zoomScalePageLayoutView="0" workbookViewId="0" topLeftCell="A1">
      <selection activeCell="L19" sqref="L19"/>
    </sheetView>
  </sheetViews>
  <sheetFormatPr defaultColWidth="9.140625" defaultRowHeight="15"/>
  <cols>
    <col min="1" max="1" width="6.00390625" style="0" customWidth="1"/>
    <col min="2" max="2" width="9.140625" style="0" hidden="1" customWidth="1"/>
    <col min="4" max="4" width="32.7109375" style="0" customWidth="1"/>
    <col min="6" max="6" width="13.57421875" style="0" customWidth="1"/>
    <col min="7" max="7" width="16.7109375" style="0" customWidth="1"/>
    <col min="8" max="8" width="0.13671875" style="0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6" spans="1:6" s="1" customFormat="1" ht="15.75">
      <c r="A6" s="90"/>
      <c r="B6" s="90"/>
      <c r="C6" s="90"/>
      <c r="D6" s="90"/>
      <c r="E6" s="90"/>
      <c r="F6" s="90"/>
    </row>
    <row r="7" spans="1:8" ht="16.5">
      <c r="A7" s="518" t="s">
        <v>589</v>
      </c>
      <c r="B7" s="518"/>
      <c r="C7" s="518"/>
      <c r="D7" s="518"/>
      <c r="E7" s="518"/>
      <c r="F7" s="518"/>
      <c r="G7" s="518"/>
      <c r="H7" s="518"/>
    </row>
    <row r="8" spans="1:8" ht="16.5">
      <c r="A8" s="513"/>
      <c r="B8" s="513"/>
      <c r="C8" s="513"/>
      <c r="D8" s="513"/>
      <c r="E8" s="285"/>
      <c r="F8" s="285"/>
      <c r="G8" s="513"/>
      <c r="H8" s="513"/>
    </row>
    <row r="9" spans="1:8" ht="58.5" customHeight="1">
      <c r="A9" s="514" t="s">
        <v>98</v>
      </c>
      <c r="B9" s="514"/>
      <c r="C9" s="515" t="s">
        <v>94</v>
      </c>
      <c r="D9" s="515"/>
      <c r="E9" s="286" t="s">
        <v>96</v>
      </c>
      <c r="F9" s="286" t="s">
        <v>87</v>
      </c>
      <c r="G9" s="515" t="s">
        <v>97</v>
      </c>
      <c r="H9" s="515"/>
    </row>
    <row r="10" spans="1:8" ht="16.5">
      <c r="A10" s="512">
        <v>1</v>
      </c>
      <c r="B10" s="512"/>
      <c r="C10" s="516" t="s">
        <v>660</v>
      </c>
      <c r="D10" s="516"/>
      <c r="E10" s="282">
        <v>90</v>
      </c>
      <c r="F10" s="321"/>
      <c r="G10" s="517"/>
      <c r="H10" s="517"/>
    </row>
    <row r="11" spans="1:8" ht="16.5">
      <c r="A11" s="512">
        <v>2</v>
      </c>
      <c r="B11" s="512"/>
      <c r="C11" s="516" t="s">
        <v>312</v>
      </c>
      <c r="D11" s="516"/>
      <c r="E11" s="287">
        <v>90</v>
      </c>
      <c r="F11" s="322"/>
      <c r="G11" s="517"/>
      <c r="H11" s="517"/>
    </row>
    <row r="12" spans="1:8" ht="16.5">
      <c r="A12" s="512">
        <v>3</v>
      </c>
      <c r="B12" s="512"/>
      <c r="C12" s="516" t="s">
        <v>661</v>
      </c>
      <c r="D12" s="516"/>
      <c r="E12" s="287">
        <v>150</v>
      </c>
      <c r="F12" s="322"/>
      <c r="G12" s="517"/>
      <c r="H12" s="517"/>
    </row>
    <row r="13" spans="1:8" ht="16.5">
      <c r="A13" s="512">
        <v>4</v>
      </c>
      <c r="B13" s="512"/>
      <c r="C13" s="516" t="s">
        <v>662</v>
      </c>
      <c r="D13" s="516"/>
      <c r="E13" s="287">
        <v>200</v>
      </c>
      <c r="F13" s="322"/>
      <c r="G13" s="517"/>
      <c r="H13" s="517"/>
    </row>
    <row r="14" spans="1:8" ht="16.5">
      <c r="A14" s="512">
        <v>5</v>
      </c>
      <c r="B14" s="512"/>
      <c r="C14" s="516" t="s">
        <v>313</v>
      </c>
      <c r="D14" s="516"/>
      <c r="E14" s="287">
        <v>12</v>
      </c>
      <c r="F14" s="322"/>
      <c r="G14" s="517"/>
      <c r="H14" s="517"/>
    </row>
    <row r="15" spans="1:8" ht="16.5" customHeight="1" hidden="1">
      <c r="A15" s="512">
        <v>6</v>
      </c>
      <c r="B15" s="512"/>
      <c r="C15" s="516" t="s">
        <v>314</v>
      </c>
      <c r="D15" s="516"/>
      <c r="E15" s="287">
        <v>0</v>
      </c>
      <c r="F15" s="322"/>
      <c r="G15" s="517"/>
      <c r="H15" s="517"/>
    </row>
    <row r="16" spans="1:8" ht="16.5">
      <c r="A16" s="512">
        <v>6</v>
      </c>
      <c r="B16" s="512"/>
      <c r="C16" s="516" t="s">
        <v>663</v>
      </c>
      <c r="D16" s="516"/>
      <c r="E16" s="287">
        <v>200</v>
      </c>
      <c r="F16" s="321"/>
      <c r="G16" s="517"/>
      <c r="H16" s="517"/>
    </row>
    <row r="17" spans="1:8" ht="16.5">
      <c r="A17" s="512">
        <v>7</v>
      </c>
      <c r="B17" s="512"/>
      <c r="C17" s="516" t="s">
        <v>315</v>
      </c>
      <c r="D17" s="516"/>
      <c r="E17" s="287">
        <v>90</v>
      </c>
      <c r="F17" s="322"/>
      <c r="G17" s="517"/>
      <c r="H17" s="517"/>
    </row>
    <row r="18" spans="1:8" ht="16.5">
      <c r="A18" s="512">
        <v>8</v>
      </c>
      <c r="B18" s="512"/>
      <c r="C18" s="516" t="s">
        <v>316</v>
      </c>
      <c r="D18" s="516"/>
      <c r="E18" s="287">
        <v>24</v>
      </c>
      <c r="F18" s="322"/>
      <c r="G18" s="517"/>
      <c r="H18" s="517"/>
    </row>
    <row r="19" spans="1:8" ht="16.5">
      <c r="A19" s="512">
        <v>9</v>
      </c>
      <c r="B19" s="512"/>
      <c r="C19" s="516" t="s">
        <v>317</v>
      </c>
      <c r="D19" s="516"/>
      <c r="E19" s="287">
        <v>90</v>
      </c>
      <c r="F19" s="322"/>
      <c r="G19" s="517"/>
      <c r="H19" s="517"/>
    </row>
    <row r="20" spans="1:8" ht="15.75">
      <c r="A20" s="519" t="s">
        <v>65</v>
      </c>
      <c r="B20" s="519"/>
      <c r="C20" s="519"/>
      <c r="D20" s="519"/>
      <c r="E20" s="519"/>
      <c r="F20" s="519"/>
      <c r="G20" s="399"/>
      <c r="H20" s="118"/>
    </row>
  </sheetData>
  <sheetProtection/>
  <mergeCells count="38">
    <mergeCell ref="A20:F20"/>
    <mergeCell ref="A19:B19"/>
    <mergeCell ref="C19:D19"/>
    <mergeCell ref="G19:H19"/>
    <mergeCell ref="C16:D16"/>
    <mergeCell ref="G16:H16"/>
    <mergeCell ref="A17:B17"/>
    <mergeCell ref="C17:D17"/>
    <mergeCell ref="G17:H17"/>
    <mergeCell ref="A18:B18"/>
    <mergeCell ref="C18:D18"/>
    <mergeCell ref="G18:H18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A7:H7"/>
    <mergeCell ref="A10:B10"/>
    <mergeCell ref="C10:D10"/>
    <mergeCell ref="G10:H10"/>
    <mergeCell ref="A11:B11"/>
    <mergeCell ref="C11:D11"/>
    <mergeCell ref="G11:H11"/>
    <mergeCell ref="A8:B8"/>
    <mergeCell ref="C8:D8"/>
    <mergeCell ref="A13:B13"/>
    <mergeCell ref="G8:H8"/>
    <mergeCell ref="A9:B9"/>
    <mergeCell ref="C9:D9"/>
    <mergeCell ref="G9:H9"/>
    <mergeCell ref="A12:B12"/>
    <mergeCell ref="C12:D12"/>
    <mergeCell ref="G12:H12"/>
  </mergeCells>
  <printOptions/>
  <pageMargins left="0.8661417322834646" right="0.5118110236220472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9"/>
  <sheetViews>
    <sheetView zoomScale="115" zoomScaleNormal="115" zoomScalePageLayoutView="0" workbookViewId="0" topLeftCell="A1">
      <selection activeCell="A91" sqref="A91:IV91"/>
    </sheetView>
  </sheetViews>
  <sheetFormatPr defaultColWidth="9.140625" defaultRowHeight="15"/>
  <cols>
    <col min="1" max="1" width="6.00390625" style="0" customWidth="1"/>
    <col min="2" max="2" width="41.8515625" style="0" bestFit="1" customWidth="1"/>
    <col min="3" max="3" width="10.00390625" style="0" bestFit="1" customWidth="1"/>
    <col min="4" max="4" width="12.140625" style="0" customWidth="1"/>
    <col min="5" max="5" width="13.8515625" style="0" bestFit="1" customWidth="1"/>
    <col min="6" max="6" width="5.140625" style="0" customWidth="1"/>
  </cols>
  <sheetData>
    <row r="1" spans="1:5" s="1" customFormat="1" ht="15.75">
      <c r="A1" s="90"/>
      <c r="B1" s="90"/>
      <c r="C1" s="90"/>
      <c r="D1" s="90"/>
      <c r="E1" s="90"/>
    </row>
    <row r="2" spans="1:5" s="1" customFormat="1" ht="15.75">
      <c r="A2" s="90"/>
      <c r="B2" s="90"/>
      <c r="C2" s="90"/>
      <c r="D2" s="90"/>
      <c r="E2" s="90"/>
    </row>
    <row r="3" spans="1:5" s="1" customFormat="1" ht="15.75">
      <c r="A3" s="90"/>
      <c r="B3" s="90"/>
      <c r="C3" s="90"/>
      <c r="D3" s="90"/>
      <c r="E3" s="90"/>
    </row>
    <row r="4" spans="1:5" s="1" customFormat="1" ht="15.75">
      <c r="A4" s="90"/>
      <c r="B4" s="90"/>
      <c r="C4" s="90"/>
      <c r="D4" s="90"/>
      <c r="E4" s="90"/>
    </row>
    <row r="5" spans="1:5" s="1" customFormat="1" ht="15.75">
      <c r="A5" s="90"/>
      <c r="B5" s="90"/>
      <c r="C5" s="90"/>
      <c r="D5" s="90"/>
      <c r="E5" s="90"/>
    </row>
    <row r="7" spans="1:5" ht="16.5">
      <c r="A7" s="523" t="s">
        <v>540</v>
      </c>
      <c r="B7" s="523"/>
      <c r="C7" s="523"/>
      <c r="D7" s="523"/>
      <c r="E7" s="523"/>
    </row>
    <row r="8" spans="1:5" ht="16.5">
      <c r="A8" s="10"/>
      <c r="B8" s="10"/>
      <c r="C8" s="10"/>
      <c r="D8" s="10"/>
      <c r="E8" s="10"/>
    </row>
    <row r="9" spans="1:5" ht="33">
      <c r="A9" s="351"/>
      <c r="B9" s="351" t="s">
        <v>94</v>
      </c>
      <c r="C9" s="351" t="s">
        <v>96</v>
      </c>
      <c r="D9" s="352" t="s">
        <v>87</v>
      </c>
      <c r="E9" s="351" t="s">
        <v>97</v>
      </c>
    </row>
    <row r="10" spans="1:5" ht="16.5">
      <c r="A10" s="288">
        <v>1</v>
      </c>
      <c r="B10" s="289" t="s">
        <v>471</v>
      </c>
      <c r="C10" s="290">
        <v>4</v>
      </c>
      <c r="D10" s="291"/>
      <c r="E10" s="292"/>
    </row>
    <row r="11" spans="1:5" ht="16.5">
      <c r="A11" s="288">
        <v>2</v>
      </c>
      <c r="B11" s="289" t="s">
        <v>472</v>
      </c>
      <c r="C11" s="288">
        <v>4</v>
      </c>
      <c r="D11" s="293"/>
      <c r="E11" s="292"/>
    </row>
    <row r="12" spans="1:5" ht="16.5" hidden="1">
      <c r="A12" s="288">
        <v>3</v>
      </c>
      <c r="B12" s="294" t="s">
        <v>473</v>
      </c>
      <c r="C12" s="288">
        <v>0</v>
      </c>
      <c r="D12" s="293"/>
      <c r="E12" s="292"/>
    </row>
    <row r="13" spans="1:5" ht="33">
      <c r="A13" s="288">
        <v>4</v>
      </c>
      <c r="B13" s="295" t="s">
        <v>639</v>
      </c>
      <c r="C13" s="288">
        <v>6</v>
      </c>
      <c r="D13" s="293"/>
      <c r="E13" s="292"/>
    </row>
    <row r="14" spans="1:5" ht="16.5">
      <c r="A14" s="288">
        <v>5</v>
      </c>
      <c r="B14" s="289" t="s">
        <v>474</v>
      </c>
      <c r="C14" s="288">
        <v>6</v>
      </c>
      <c r="D14" s="293"/>
      <c r="E14" s="292"/>
    </row>
    <row r="15" spans="1:5" ht="16.5">
      <c r="A15" s="288">
        <v>6</v>
      </c>
      <c r="B15" s="289" t="s">
        <v>640</v>
      </c>
      <c r="C15" s="288">
        <v>6</v>
      </c>
      <c r="D15" s="293"/>
      <c r="E15" s="292"/>
    </row>
    <row r="16" spans="1:5" ht="16.5">
      <c r="A16" s="288">
        <v>7</v>
      </c>
      <c r="B16" s="289" t="s">
        <v>641</v>
      </c>
      <c r="C16" s="288">
        <v>12</v>
      </c>
      <c r="D16" s="293"/>
      <c r="E16" s="292"/>
    </row>
    <row r="17" spans="1:5" ht="16.5" hidden="1">
      <c r="A17" s="288">
        <v>9</v>
      </c>
      <c r="B17" s="289" t="s">
        <v>475</v>
      </c>
      <c r="C17" s="288">
        <v>0</v>
      </c>
      <c r="D17" s="293"/>
      <c r="E17" s="292"/>
    </row>
    <row r="18" spans="1:5" ht="16.5" hidden="1">
      <c r="A18" s="288">
        <v>10</v>
      </c>
      <c r="B18" s="289" t="s">
        <v>476</v>
      </c>
      <c r="C18" s="288">
        <v>0</v>
      </c>
      <c r="D18" s="293"/>
      <c r="E18" s="292"/>
    </row>
    <row r="19" spans="1:5" ht="16.5">
      <c r="A19" s="288">
        <v>9</v>
      </c>
      <c r="B19" s="289" t="s">
        <v>642</v>
      </c>
      <c r="C19" s="288">
        <v>6</v>
      </c>
      <c r="D19" s="293"/>
      <c r="E19" s="292"/>
    </row>
    <row r="20" spans="1:5" ht="33">
      <c r="A20" s="288">
        <v>10</v>
      </c>
      <c r="B20" s="295" t="s">
        <v>477</v>
      </c>
      <c r="C20" s="288">
        <v>3</v>
      </c>
      <c r="D20" s="293"/>
      <c r="E20" s="292"/>
    </row>
    <row r="21" spans="1:5" ht="16.5">
      <c r="A21" s="288">
        <v>11</v>
      </c>
      <c r="B21" s="295" t="s">
        <v>478</v>
      </c>
      <c r="C21" s="288">
        <v>3</v>
      </c>
      <c r="D21" s="293"/>
      <c r="E21" s="292"/>
    </row>
    <row r="22" spans="1:5" ht="16.5">
      <c r="A22" s="288">
        <v>12</v>
      </c>
      <c r="B22" s="295" t="s">
        <v>479</v>
      </c>
      <c r="C22" s="288">
        <v>4</v>
      </c>
      <c r="D22" s="293"/>
      <c r="E22" s="292"/>
    </row>
    <row r="23" spans="1:5" ht="16.5">
      <c r="A23" s="288">
        <v>13</v>
      </c>
      <c r="B23" s="295" t="s">
        <v>480</v>
      </c>
      <c r="C23" s="288">
        <v>45</v>
      </c>
      <c r="D23" s="293"/>
      <c r="E23" s="292"/>
    </row>
    <row r="24" spans="1:5" ht="16.5">
      <c r="A24" s="288">
        <v>14</v>
      </c>
      <c r="B24" s="295" t="s">
        <v>481</v>
      </c>
      <c r="C24" s="288">
        <v>6</v>
      </c>
      <c r="D24" s="293"/>
      <c r="E24" s="292"/>
    </row>
    <row r="25" spans="1:5" ht="16.5">
      <c r="A25" s="288">
        <v>15</v>
      </c>
      <c r="B25" s="289" t="s">
        <v>643</v>
      </c>
      <c r="C25" s="288">
        <v>12</v>
      </c>
      <c r="D25" s="293"/>
      <c r="E25" s="292"/>
    </row>
    <row r="26" spans="1:5" ht="33">
      <c r="A26" s="288">
        <v>16</v>
      </c>
      <c r="B26" s="295" t="s">
        <v>482</v>
      </c>
      <c r="C26" s="288">
        <v>12</v>
      </c>
      <c r="D26" s="293"/>
      <c r="E26" s="292"/>
    </row>
    <row r="27" spans="1:5" ht="16.5">
      <c r="A27" s="288">
        <v>17</v>
      </c>
      <c r="B27" s="289" t="s">
        <v>644</v>
      </c>
      <c r="C27" s="288">
        <v>15</v>
      </c>
      <c r="D27" s="293"/>
      <c r="E27" s="292"/>
    </row>
    <row r="28" spans="1:5" ht="16.5">
      <c r="A28" s="288">
        <v>18</v>
      </c>
      <c r="B28" s="289" t="s">
        <v>645</v>
      </c>
      <c r="C28" s="288">
        <v>6</v>
      </c>
      <c r="D28" s="293"/>
      <c r="E28" s="292"/>
    </row>
    <row r="29" spans="1:5" ht="16.5">
      <c r="A29" s="288">
        <v>19</v>
      </c>
      <c r="B29" s="289" t="s">
        <v>646</v>
      </c>
      <c r="C29" s="288">
        <v>10</v>
      </c>
      <c r="D29" s="293"/>
      <c r="E29" s="292"/>
    </row>
    <row r="30" spans="1:5" ht="16.5" hidden="1">
      <c r="A30" s="288">
        <v>20</v>
      </c>
      <c r="B30" s="289" t="s">
        <v>483</v>
      </c>
      <c r="C30" s="288">
        <v>0</v>
      </c>
      <c r="D30" s="293"/>
      <c r="E30" s="292"/>
    </row>
    <row r="31" spans="1:5" ht="16.5" hidden="1">
      <c r="A31" s="288">
        <v>21</v>
      </c>
      <c r="B31" s="289" t="s">
        <v>484</v>
      </c>
      <c r="C31" s="288">
        <v>0</v>
      </c>
      <c r="D31" s="293"/>
      <c r="E31" s="292"/>
    </row>
    <row r="32" spans="1:5" ht="16.5" hidden="1">
      <c r="A32" s="288">
        <v>22</v>
      </c>
      <c r="B32" s="289" t="s">
        <v>485</v>
      </c>
      <c r="C32" s="288">
        <v>0</v>
      </c>
      <c r="D32" s="293"/>
      <c r="E32" s="292"/>
    </row>
    <row r="33" spans="1:5" ht="16.5" hidden="1">
      <c r="A33" s="288">
        <v>23</v>
      </c>
      <c r="B33" s="289" t="s">
        <v>486</v>
      </c>
      <c r="C33" s="288">
        <v>0</v>
      </c>
      <c r="D33" s="293"/>
      <c r="E33" s="292"/>
    </row>
    <row r="34" spans="1:5" ht="16.5">
      <c r="A34" s="288">
        <v>20</v>
      </c>
      <c r="B34" s="289" t="s">
        <v>647</v>
      </c>
      <c r="C34" s="288">
        <v>3</v>
      </c>
      <c r="D34" s="293"/>
      <c r="E34" s="292"/>
    </row>
    <row r="35" spans="1:5" ht="16.5">
      <c r="A35" s="288">
        <v>21</v>
      </c>
      <c r="B35" s="289" t="s">
        <v>648</v>
      </c>
      <c r="C35" s="288">
        <v>6</v>
      </c>
      <c r="D35" s="293"/>
      <c r="E35" s="292"/>
    </row>
    <row r="36" spans="1:5" ht="16.5">
      <c r="A36" s="288">
        <v>22</v>
      </c>
      <c r="B36" s="294" t="s">
        <v>487</v>
      </c>
      <c r="C36" s="288">
        <v>6</v>
      </c>
      <c r="D36" s="293"/>
      <c r="E36" s="292"/>
    </row>
    <row r="37" spans="1:5" ht="33" hidden="1">
      <c r="A37" s="288">
        <v>23</v>
      </c>
      <c r="B37" s="295" t="s">
        <v>488</v>
      </c>
      <c r="C37" s="288">
        <v>0</v>
      </c>
      <c r="D37" s="293"/>
      <c r="E37" s="292"/>
    </row>
    <row r="38" spans="1:5" ht="16.5">
      <c r="A38" s="288">
        <v>23</v>
      </c>
      <c r="B38" s="289" t="s">
        <v>489</v>
      </c>
      <c r="C38" s="288">
        <v>3</v>
      </c>
      <c r="D38" s="293"/>
      <c r="E38" s="292"/>
    </row>
    <row r="39" spans="1:5" ht="16.5">
      <c r="A39" s="288">
        <v>24</v>
      </c>
      <c r="B39" s="289" t="s">
        <v>490</v>
      </c>
      <c r="C39" s="288">
        <v>3</v>
      </c>
      <c r="D39" s="293"/>
      <c r="E39" s="292"/>
    </row>
    <row r="40" spans="1:5" ht="16.5">
      <c r="A40" s="288">
        <v>25</v>
      </c>
      <c r="B40" s="289" t="s">
        <v>491</v>
      </c>
      <c r="C40" s="288">
        <v>3</v>
      </c>
      <c r="D40" s="293"/>
      <c r="E40" s="292"/>
    </row>
    <row r="41" spans="1:5" ht="16.5">
      <c r="A41" s="288">
        <v>26</v>
      </c>
      <c r="B41" s="289" t="s">
        <v>649</v>
      </c>
      <c r="C41" s="288">
        <v>12</v>
      </c>
      <c r="D41" s="293"/>
      <c r="E41" s="292"/>
    </row>
    <row r="42" spans="1:5" ht="16.5">
      <c r="A42" s="288">
        <v>27</v>
      </c>
      <c r="B42" s="289" t="s">
        <v>492</v>
      </c>
      <c r="C42" s="288">
        <v>6</v>
      </c>
      <c r="D42" s="293"/>
      <c r="E42" s="292"/>
    </row>
    <row r="43" spans="1:5" ht="16.5" hidden="1">
      <c r="A43" s="288">
        <v>37</v>
      </c>
      <c r="B43" s="289" t="s">
        <v>493</v>
      </c>
      <c r="C43" s="288">
        <v>0</v>
      </c>
      <c r="D43" s="293"/>
      <c r="E43" s="292"/>
    </row>
    <row r="44" spans="1:5" ht="16.5">
      <c r="A44" s="288">
        <v>28</v>
      </c>
      <c r="B44" s="298" t="s">
        <v>650</v>
      </c>
      <c r="C44" s="288">
        <v>6</v>
      </c>
      <c r="D44" s="293"/>
      <c r="E44" s="292"/>
    </row>
    <row r="45" spans="1:5" ht="16.5">
      <c r="A45" s="288">
        <v>29</v>
      </c>
      <c r="B45" s="298" t="s">
        <v>651</v>
      </c>
      <c r="C45" s="288">
        <v>3</v>
      </c>
      <c r="D45" s="293"/>
      <c r="E45" s="292"/>
    </row>
    <row r="46" spans="1:5" ht="16.5">
      <c r="A46" s="288">
        <v>30</v>
      </c>
      <c r="B46" s="289" t="s">
        <v>494</v>
      </c>
      <c r="C46" s="288">
        <v>3</v>
      </c>
      <c r="D46" s="293"/>
      <c r="E46" s="292"/>
    </row>
    <row r="47" spans="1:5" ht="16.5">
      <c r="A47" s="288">
        <v>31</v>
      </c>
      <c r="B47" s="289" t="s">
        <v>495</v>
      </c>
      <c r="C47" s="288">
        <v>3</v>
      </c>
      <c r="D47" s="293"/>
      <c r="E47" s="292"/>
    </row>
    <row r="48" spans="1:5" ht="16.5" hidden="1">
      <c r="A48" s="288">
        <v>40</v>
      </c>
      <c r="B48" s="289" t="s">
        <v>496</v>
      </c>
      <c r="C48" s="288">
        <v>0</v>
      </c>
      <c r="D48" s="293"/>
      <c r="E48" s="292"/>
    </row>
    <row r="49" spans="1:5" ht="16.5">
      <c r="A49" s="288">
        <v>32</v>
      </c>
      <c r="B49" s="289" t="s">
        <v>497</v>
      </c>
      <c r="C49" s="288">
        <v>6</v>
      </c>
      <c r="D49" s="293"/>
      <c r="E49" s="292"/>
    </row>
    <row r="50" spans="1:5" ht="16.5">
      <c r="A50" s="288">
        <v>33</v>
      </c>
      <c r="B50" s="289" t="s">
        <v>652</v>
      </c>
      <c r="C50" s="288">
        <v>12</v>
      </c>
      <c r="D50" s="293"/>
      <c r="E50" s="292"/>
    </row>
    <row r="51" spans="1:5" ht="16.5">
      <c r="A51" s="288">
        <v>34</v>
      </c>
      <c r="B51" s="295" t="s">
        <v>653</v>
      </c>
      <c r="C51" s="288">
        <v>15</v>
      </c>
      <c r="D51" s="293"/>
      <c r="E51" s="292"/>
    </row>
    <row r="52" spans="1:5" ht="16.5">
      <c r="A52" s="288">
        <v>35</v>
      </c>
      <c r="B52" s="289" t="s">
        <v>498</v>
      </c>
      <c r="C52" s="288">
        <v>6</v>
      </c>
      <c r="D52" s="293"/>
      <c r="E52" s="292"/>
    </row>
    <row r="53" spans="1:5" ht="16.5">
      <c r="A53" s="288">
        <v>36</v>
      </c>
      <c r="B53" s="289" t="s">
        <v>499</v>
      </c>
      <c r="C53" s="288">
        <v>6</v>
      </c>
      <c r="D53" s="293"/>
      <c r="E53" s="292"/>
    </row>
    <row r="54" spans="1:5" ht="16.5">
      <c r="A54" s="288">
        <v>37</v>
      </c>
      <c r="B54" s="289" t="s">
        <v>500</v>
      </c>
      <c r="C54" s="288">
        <v>9</v>
      </c>
      <c r="D54" s="293"/>
      <c r="E54" s="292"/>
    </row>
    <row r="55" spans="1:5" ht="16.5" hidden="1">
      <c r="A55" s="288">
        <v>48</v>
      </c>
      <c r="B55" s="296" t="s">
        <v>501</v>
      </c>
      <c r="C55" s="288">
        <v>0</v>
      </c>
      <c r="D55" s="293"/>
      <c r="E55" s="292"/>
    </row>
    <row r="56" spans="1:5" ht="16.5">
      <c r="A56" s="288">
        <v>38</v>
      </c>
      <c r="B56" s="289" t="s">
        <v>502</v>
      </c>
      <c r="C56" s="288">
        <v>6</v>
      </c>
      <c r="D56" s="293"/>
      <c r="E56" s="292"/>
    </row>
    <row r="57" spans="1:5" ht="16.5">
      <c r="A57" s="288">
        <v>39</v>
      </c>
      <c r="B57" s="296" t="s">
        <v>503</v>
      </c>
      <c r="C57" s="288">
        <v>3</v>
      </c>
      <c r="D57" s="293"/>
      <c r="E57" s="292"/>
    </row>
    <row r="58" spans="1:5" ht="16.5">
      <c r="A58" s="288">
        <v>40</v>
      </c>
      <c r="B58" s="289" t="s">
        <v>654</v>
      </c>
      <c r="C58" s="288">
        <v>3</v>
      </c>
      <c r="D58" s="293"/>
      <c r="E58" s="292"/>
    </row>
    <row r="59" spans="1:5" ht="16.5" hidden="1">
      <c r="A59" s="288">
        <v>52</v>
      </c>
      <c r="B59" s="289" t="s">
        <v>504</v>
      </c>
      <c r="C59" s="288">
        <v>0</v>
      </c>
      <c r="D59" s="293"/>
      <c r="E59" s="292"/>
    </row>
    <row r="60" spans="1:5" ht="16.5" hidden="1">
      <c r="A60" s="288">
        <v>53</v>
      </c>
      <c r="B60" s="289" t="s">
        <v>505</v>
      </c>
      <c r="C60" s="288">
        <v>0</v>
      </c>
      <c r="D60" s="293"/>
      <c r="E60" s="292"/>
    </row>
    <row r="61" spans="1:5" ht="16.5">
      <c r="A61" s="288">
        <v>41</v>
      </c>
      <c r="B61" s="289" t="s">
        <v>655</v>
      </c>
      <c r="C61" s="288">
        <v>3</v>
      </c>
      <c r="D61" s="293"/>
      <c r="E61" s="292"/>
    </row>
    <row r="62" spans="1:5" ht="16.5">
      <c r="A62" s="288">
        <v>42</v>
      </c>
      <c r="B62" s="289" t="s">
        <v>656</v>
      </c>
      <c r="C62" s="288">
        <v>3</v>
      </c>
      <c r="D62" s="293"/>
      <c r="E62" s="292"/>
    </row>
    <row r="63" spans="1:5" ht="16.5">
      <c r="A63" s="288">
        <v>43</v>
      </c>
      <c r="B63" s="289" t="s">
        <v>657</v>
      </c>
      <c r="C63" s="288">
        <v>6</v>
      </c>
      <c r="D63" s="293"/>
      <c r="E63" s="292"/>
    </row>
    <row r="64" spans="1:5" ht="16.5">
      <c r="A64" s="288">
        <v>44</v>
      </c>
      <c r="B64" s="289" t="s">
        <v>658</v>
      </c>
      <c r="C64" s="288">
        <v>4</v>
      </c>
      <c r="D64" s="293"/>
      <c r="E64" s="292"/>
    </row>
    <row r="65" spans="1:5" ht="16.5">
      <c r="A65" s="288">
        <v>45</v>
      </c>
      <c r="B65" s="289" t="s">
        <v>506</v>
      </c>
      <c r="C65" s="288">
        <v>5</v>
      </c>
      <c r="D65" s="293"/>
      <c r="E65" s="292"/>
    </row>
    <row r="66" spans="1:5" ht="16.5" hidden="1">
      <c r="A66" s="288">
        <v>59</v>
      </c>
      <c r="B66" s="296" t="s">
        <v>507</v>
      </c>
      <c r="C66" s="288">
        <v>0</v>
      </c>
      <c r="D66" s="293"/>
      <c r="E66" s="292"/>
    </row>
    <row r="67" spans="1:5" ht="16.5" hidden="1">
      <c r="A67" s="288">
        <v>60</v>
      </c>
      <c r="B67" s="296" t="s">
        <v>508</v>
      </c>
      <c r="C67" s="288">
        <v>0</v>
      </c>
      <c r="D67" s="293"/>
      <c r="E67" s="292"/>
    </row>
    <row r="68" spans="1:5" ht="16.5">
      <c r="A68" s="288">
        <v>46</v>
      </c>
      <c r="B68" s="296" t="s">
        <v>509</v>
      </c>
      <c r="C68" s="288">
        <v>9</v>
      </c>
      <c r="D68" s="293"/>
      <c r="E68" s="292"/>
    </row>
    <row r="69" spans="1:5" ht="16.5" hidden="1">
      <c r="A69" s="288">
        <v>62</v>
      </c>
      <c r="B69" s="289" t="s">
        <v>510</v>
      </c>
      <c r="C69" s="288">
        <v>0</v>
      </c>
      <c r="D69" s="293"/>
      <c r="E69" s="292"/>
    </row>
    <row r="70" spans="1:5" ht="16.5">
      <c r="A70" s="288">
        <v>47</v>
      </c>
      <c r="B70" s="289" t="s">
        <v>511</v>
      </c>
      <c r="C70" s="288">
        <v>3</v>
      </c>
      <c r="D70" s="293"/>
      <c r="E70" s="292"/>
    </row>
    <row r="71" spans="1:5" ht="16.5">
      <c r="A71" s="288">
        <v>48</v>
      </c>
      <c r="B71" s="289" t="s">
        <v>659</v>
      </c>
      <c r="C71" s="288">
        <v>6</v>
      </c>
      <c r="D71" s="293"/>
      <c r="E71" s="292"/>
    </row>
    <row r="72" spans="1:5" ht="16.5">
      <c r="A72" s="288">
        <v>49</v>
      </c>
      <c r="B72" s="289" t="s">
        <v>512</v>
      </c>
      <c r="C72" s="288">
        <v>100</v>
      </c>
      <c r="D72" s="293"/>
      <c r="E72" s="292"/>
    </row>
    <row r="73" spans="1:5" ht="16.5">
      <c r="A73" s="288">
        <v>50</v>
      </c>
      <c r="B73" s="289" t="s">
        <v>513</v>
      </c>
      <c r="C73" s="288">
        <v>3</v>
      </c>
      <c r="D73" s="293"/>
      <c r="E73" s="292"/>
    </row>
    <row r="74" spans="1:5" ht="16.5">
      <c r="A74" s="288">
        <v>51</v>
      </c>
      <c r="B74" s="289" t="s">
        <v>514</v>
      </c>
      <c r="C74" s="288">
        <v>6</v>
      </c>
      <c r="D74" s="293"/>
      <c r="E74" s="292"/>
    </row>
    <row r="75" spans="1:5" ht="16.5">
      <c r="A75" s="288">
        <v>52</v>
      </c>
      <c r="B75" s="289" t="s">
        <v>515</v>
      </c>
      <c r="C75" s="288">
        <v>3</v>
      </c>
      <c r="D75" s="293"/>
      <c r="E75" s="292"/>
    </row>
    <row r="76" spans="1:5" ht="16.5" hidden="1">
      <c r="A76" s="288">
        <v>53</v>
      </c>
      <c r="B76" s="289" t="s">
        <v>516</v>
      </c>
      <c r="C76" s="288">
        <v>0</v>
      </c>
      <c r="D76" s="293"/>
      <c r="E76" s="292"/>
    </row>
    <row r="77" spans="1:5" ht="16.5">
      <c r="A77" s="288">
        <v>54</v>
      </c>
      <c r="B77" s="289" t="s">
        <v>517</v>
      </c>
      <c r="C77" s="288">
        <v>3</v>
      </c>
      <c r="D77" s="293"/>
      <c r="E77" s="292"/>
    </row>
    <row r="78" spans="1:5" ht="16.5">
      <c r="A78" s="288">
        <v>55</v>
      </c>
      <c r="B78" s="289" t="s">
        <v>518</v>
      </c>
      <c r="C78" s="288">
        <v>3</v>
      </c>
      <c r="D78" s="293"/>
      <c r="E78" s="292"/>
    </row>
    <row r="79" spans="1:5" ht="16.5">
      <c r="A79" s="288">
        <v>56</v>
      </c>
      <c r="B79" s="289" t="s">
        <v>519</v>
      </c>
      <c r="C79" s="288">
        <v>9</v>
      </c>
      <c r="D79" s="293"/>
      <c r="E79" s="292"/>
    </row>
    <row r="80" spans="1:5" ht="16.5">
      <c r="A80" s="288">
        <v>57</v>
      </c>
      <c r="B80" s="289" t="s">
        <v>520</v>
      </c>
      <c r="C80" s="288">
        <v>9</v>
      </c>
      <c r="D80" s="293"/>
      <c r="E80" s="292"/>
    </row>
    <row r="81" spans="1:5" ht="16.5">
      <c r="A81" s="288">
        <v>58</v>
      </c>
      <c r="B81" s="289" t="s">
        <v>521</v>
      </c>
      <c r="C81" s="288">
        <v>3</v>
      </c>
      <c r="D81" s="293"/>
      <c r="E81" s="292"/>
    </row>
    <row r="82" spans="1:5" ht="16.5" hidden="1">
      <c r="A82" s="288">
        <v>59</v>
      </c>
      <c r="B82" s="289" t="s">
        <v>522</v>
      </c>
      <c r="C82" s="288">
        <v>0</v>
      </c>
      <c r="D82" s="293"/>
      <c r="E82" s="292"/>
    </row>
    <row r="83" spans="1:5" ht="16.5" hidden="1">
      <c r="A83" s="288">
        <v>60</v>
      </c>
      <c r="B83" s="289" t="s">
        <v>523</v>
      </c>
      <c r="C83" s="288">
        <v>0</v>
      </c>
      <c r="D83" s="293"/>
      <c r="E83" s="292"/>
    </row>
    <row r="84" spans="1:5" ht="16.5">
      <c r="A84" s="288">
        <v>61</v>
      </c>
      <c r="B84" s="289" t="s">
        <v>524</v>
      </c>
      <c r="C84" s="288">
        <v>3</v>
      </c>
      <c r="D84" s="293"/>
      <c r="E84" s="292"/>
    </row>
    <row r="85" spans="1:5" ht="33">
      <c r="A85" s="288">
        <v>62</v>
      </c>
      <c r="B85" s="295" t="s">
        <v>525</v>
      </c>
      <c r="C85" s="288">
        <v>18</v>
      </c>
      <c r="D85" s="293"/>
      <c r="E85" s="292"/>
    </row>
    <row r="86" spans="1:5" ht="33" hidden="1">
      <c r="A86" s="288">
        <v>63</v>
      </c>
      <c r="B86" s="295" t="s">
        <v>526</v>
      </c>
      <c r="C86" s="288">
        <v>0</v>
      </c>
      <c r="D86" s="293"/>
      <c r="E86" s="292"/>
    </row>
    <row r="87" spans="1:5" ht="33" hidden="1">
      <c r="A87" s="288">
        <v>64</v>
      </c>
      <c r="B87" s="295" t="s">
        <v>527</v>
      </c>
      <c r="C87" s="288">
        <v>0</v>
      </c>
      <c r="D87" s="293"/>
      <c r="E87" s="292"/>
    </row>
    <row r="88" spans="1:5" ht="16.5">
      <c r="A88" s="288">
        <v>65</v>
      </c>
      <c r="B88" s="289" t="s">
        <v>528</v>
      </c>
      <c r="C88" s="288">
        <v>12</v>
      </c>
      <c r="D88" s="293"/>
      <c r="E88" s="292"/>
    </row>
    <row r="89" spans="1:5" ht="16.5">
      <c r="A89" s="520" t="s">
        <v>132</v>
      </c>
      <c r="B89" s="521"/>
      <c r="C89" s="521"/>
      <c r="D89" s="522"/>
      <c r="E89" s="297"/>
    </row>
  </sheetData>
  <sheetProtection/>
  <mergeCells count="2">
    <mergeCell ref="A89:D89"/>
    <mergeCell ref="A7:E7"/>
  </mergeCells>
  <printOptions/>
  <pageMargins left="1.02" right="0.5118055555555556" top="0.7875" bottom="0.7875" header="0.5118055555555556" footer="0.5118055555555556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zoomScale="142" zoomScaleNormal="142" zoomScalePageLayoutView="0" workbookViewId="0" topLeftCell="A35">
      <selection activeCell="I67" sqref="I67"/>
    </sheetView>
  </sheetViews>
  <sheetFormatPr defaultColWidth="9.140625" defaultRowHeight="15"/>
  <cols>
    <col min="1" max="1" width="6.00390625" style="0" customWidth="1"/>
    <col min="2" max="2" width="53.28125" style="0" customWidth="1"/>
    <col min="4" max="4" width="12.421875" style="0" bestFit="1" customWidth="1"/>
    <col min="5" max="5" width="15.28125" style="0" bestFit="1" customWidth="1"/>
  </cols>
  <sheetData>
    <row r="1" spans="1:5" s="1" customFormat="1" ht="15.75">
      <c r="A1" s="90"/>
      <c r="B1" s="90"/>
      <c r="C1" s="90"/>
      <c r="D1" s="90"/>
      <c r="E1" s="90"/>
    </row>
    <row r="2" spans="1:5" s="1" customFormat="1" ht="15.75">
      <c r="A2" s="90"/>
      <c r="B2" s="90"/>
      <c r="C2" s="90"/>
      <c r="D2" s="90"/>
      <c r="E2" s="90"/>
    </row>
    <row r="3" spans="1:5" s="1" customFormat="1" ht="15.75">
      <c r="A3" s="90"/>
      <c r="B3" s="90"/>
      <c r="C3" s="90"/>
      <c r="D3" s="90"/>
      <c r="E3" s="90"/>
    </row>
    <row r="4" spans="1:5" s="1" customFormat="1" ht="15.75">
      <c r="A4" s="90"/>
      <c r="B4" s="90"/>
      <c r="C4" s="90"/>
      <c r="D4" s="90"/>
      <c r="E4" s="90"/>
    </row>
    <row r="5" spans="1:5" s="1" customFormat="1" ht="15.75">
      <c r="A5" s="90"/>
      <c r="B5" s="90"/>
      <c r="C5" s="90"/>
      <c r="D5" s="90"/>
      <c r="E5" s="90"/>
    </row>
    <row r="6" spans="1:5" s="1" customFormat="1" ht="15.75">
      <c r="A6" s="90"/>
      <c r="B6" s="90"/>
      <c r="C6" s="90"/>
      <c r="D6" s="90"/>
      <c r="E6" s="90"/>
    </row>
    <row r="7" spans="1:5" ht="15.75">
      <c r="A7" s="525" t="s">
        <v>541</v>
      </c>
      <c r="B7" s="525"/>
      <c r="C7" s="525"/>
      <c r="D7" s="525"/>
      <c r="E7" s="525"/>
    </row>
    <row r="8" spans="1:5" ht="31.5">
      <c r="A8" s="142" t="s">
        <v>98</v>
      </c>
      <c r="B8" s="142" t="s">
        <v>94</v>
      </c>
      <c r="C8" s="142" t="s">
        <v>96</v>
      </c>
      <c r="D8" s="142" t="s">
        <v>102</v>
      </c>
      <c r="E8" s="142" t="s">
        <v>97</v>
      </c>
    </row>
    <row r="9" spans="1:5" ht="15" customHeight="1">
      <c r="A9" s="143">
        <v>1</v>
      </c>
      <c r="B9" s="144" t="s">
        <v>318</v>
      </c>
      <c r="C9" s="143">
        <v>12</v>
      </c>
      <c r="D9" s="146"/>
      <c r="E9" s="145"/>
    </row>
    <row r="10" spans="1:5" ht="15" customHeight="1">
      <c r="A10" s="143">
        <v>2</v>
      </c>
      <c r="B10" s="144" t="s">
        <v>671</v>
      </c>
      <c r="C10" s="143">
        <v>6</v>
      </c>
      <c r="D10" s="146"/>
      <c r="E10" s="145"/>
    </row>
    <row r="11" spans="1:5" ht="15.75">
      <c r="A11" s="143">
        <v>3</v>
      </c>
      <c r="B11" s="144" t="s">
        <v>672</v>
      </c>
      <c r="C11" s="143">
        <v>3</v>
      </c>
      <c r="D11" s="146"/>
      <c r="E11" s="145"/>
    </row>
    <row r="12" spans="1:5" ht="15" customHeight="1">
      <c r="A12" s="143">
        <v>4</v>
      </c>
      <c r="B12" s="144" t="s">
        <v>670</v>
      </c>
      <c r="C12" s="143">
        <v>3</v>
      </c>
      <c r="D12" s="146"/>
      <c r="E12" s="145"/>
    </row>
    <row r="13" spans="1:5" ht="15" customHeight="1">
      <c r="A13" s="143">
        <v>5</v>
      </c>
      <c r="B13" s="144" t="s">
        <v>673</v>
      </c>
      <c r="C13" s="143">
        <v>3</v>
      </c>
      <c r="D13" s="146"/>
      <c r="E13" s="145"/>
    </row>
    <row r="14" spans="1:5" ht="15" customHeight="1">
      <c r="A14" s="143">
        <v>6</v>
      </c>
      <c r="B14" s="144" t="s">
        <v>674</v>
      </c>
      <c r="C14" s="143">
        <v>3</v>
      </c>
      <c r="D14" s="146"/>
      <c r="E14" s="145"/>
    </row>
    <row r="15" spans="1:5" ht="15" customHeight="1">
      <c r="A15" s="143">
        <v>7</v>
      </c>
      <c r="B15" s="144" t="s">
        <v>675</v>
      </c>
      <c r="C15" s="143">
        <v>3</v>
      </c>
      <c r="D15" s="146"/>
      <c r="E15" s="145"/>
    </row>
    <row r="16" spans="1:5" ht="15" customHeight="1">
      <c r="A16" s="143">
        <v>8</v>
      </c>
      <c r="B16" s="147" t="s">
        <v>553</v>
      </c>
      <c r="C16" s="143">
        <v>18</v>
      </c>
      <c r="D16" s="146"/>
      <c r="E16" s="145"/>
    </row>
    <row r="17" spans="1:5" ht="15.75">
      <c r="A17" s="143">
        <v>9</v>
      </c>
      <c r="B17" s="148" t="s">
        <v>676</v>
      </c>
      <c r="C17" s="143">
        <v>3</v>
      </c>
      <c r="D17" s="146"/>
      <c r="E17" s="145"/>
    </row>
    <row r="18" spans="1:5" ht="18.75" customHeight="1">
      <c r="A18" s="143">
        <v>10</v>
      </c>
      <c r="B18" s="144" t="s">
        <v>319</v>
      </c>
      <c r="C18" s="143">
        <v>3</v>
      </c>
      <c r="D18" s="146"/>
      <c r="E18" s="145"/>
    </row>
    <row r="19" spans="1:5" ht="18.75" customHeight="1">
      <c r="A19" s="143">
        <v>11</v>
      </c>
      <c r="B19" s="144" t="s">
        <v>561</v>
      </c>
      <c r="C19" s="143">
        <v>3</v>
      </c>
      <c r="D19" s="146"/>
      <c r="E19" s="145"/>
    </row>
    <row r="20" spans="1:5" ht="15.75">
      <c r="A20" s="143">
        <v>12</v>
      </c>
      <c r="B20" s="144" t="s">
        <v>677</v>
      </c>
      <c r="C20" s="143">
        <v>3</v>
      </c>
      <c r="D20" s="146"/>
      <c r="E20" s="145"/>
    </row>
    <row r="21" spans="1:5" ht="15" customHeight="1">
      <c r="A21" s="143">
        <v>13</v>
      </c>
      <c r="B21" s="144" t="s">
        <v>678</v>
      </c>
      <c r="C21" s="143">
        <v>3</v>
      </c>
      <c r="D21" s="146"/>
      <c r="E21" s="145"/>
    </row>
    <row r="22" spans="1:5" ht="15" customHeight="1">
      <c r="A22" s="143">
        <v>14</v>
      </c>
      <c r="B22" s="144" t="s">
        <v>679</v>
      </c>
      <c r="C22" s="143">
        <v>3</v>
      </c>
      <c r="D22" s="146"/>
      <c r="E22" s="145"/>
    </row>
    <row r="23" spans="1:5" ht="15" customHeight="1">
      <c r="A23" s="143">
        <v>15</v>
      </c>
      <c r="B23" s="144" t="s">
        <v>460</v>
      </c>
      <c r="C23" s="143">
        <v>25</v>
      </c>
      <c r="D23" s="146"/>
      <c r="E23" s="145"/>
    </row>
    <row r="24" spans="1:5" ht="15.75" customHeight="1" hidden="1">
      <c r="A24" s="143">
        <v>16</v>
      </c>
      <c r="B24" s="144" t="s">
        <v>461</v>
      </c>
      <c r="C24" s="143">
        <v>0</v>
      </c>
      <c r="D24" s="146"/>
      <c r="E24" s="145"/>
    </row>
    <row r="25" spans="1:5" ht="15" customHeight="1">
      <c r="A25" s="143">
        <v>17</v>
      </c>
      <c r="B25" s="144" t="s">
        <v>320</v>
      </c>
      <c r="C25" s="143">
        <v>25</v>
      </c>
      <c r="D25" s="146"/>
      <c r="E25" s="145"/>
    </row>
    <row r="26" spans="1:5" ht="15" customHeight="1">
      <c r="A26" s="143">
        <v>18</v>
      </c>
      <c r="B26" s="144" t="s">
        <v>321</v>
      </c>
      <c r="C26" s="143">
        <v>1</v>
      </c>
      <c r="D26" s="146"/>
      <c r="E26" s="145"/>
    </row>
    <row r="27" spans="1:5" ht="15" customHeight="1">
      <c r="A27" s="143">
        <v>19</v>
      </c>
      <c r="B27" s="144" t="s">
        <v>322</v>
      </c>
      <c r="C27" s="143">
        <v>6</v>
      </c>
      <c r="D27" s="146"/>
      <c r="E27" s="145"/>
    </row>
    <row r="28" spans="1:5" ht="15" customHeight="1">
      <c r="A28" s="143">
        <v>20</v>
      </c>
      <c r="B28" s="144" t="s">
        <v>323</v>
      </c>
      <c r="C28" s="143">
        <v>10</v>
      </c>
      <c r="D28" s="146"/>
      <c r="E28" s="145"/>
    </row>
    <row r="29" spans="1:5" ht="15" customHeight="1" hidden="1">
      <c r="A29" s="143">
        <v>21</v>
      </c>
      <c r="B29" s="144" t="s">
        <v>464</v>
      </c>
      <c r="C29" s="143">
        <v>8</v>
      </c>
      <c r="D29" s="146"/>
      <c r="E29" s="145"/>
    </row>
    <row r="30" spans="1:5" ht="15" customHeight="1">
      <c r="A30" s="143">
        <v>22</v>
      </c>
      <c r="B30" s="144" t="s">
        <v>324</v>
      </c>
      <c r="C30" s="143">
        <v>3</v>
      </c>
      <c r="D30" s="146"/>
      <c r="E30" s="145"/>
    </row>
    <row r="31" spans="1:5" ht="15" customHeight="1">
      <c r="A31" s="143">
        <v>23</v>
      </c>
      <c r="B31" s="144" t="s">
        <v>563</v>
      </c>
      <c r="C31" s="143">
        <v>3</v>
      </c>
      <c r="D31" s="146"/>
      <c r="E31" s="145"/>
    </row>
    <row r="32" spans="1:5" ht="15" customHeight="1">
      <c r="A32" s="143">
        <v>24</v>
      </c>
      <c r="B32" s="144" t="s">
        <v>325</v>
      </c>
      <c r="C32" s="143">
        <v>3</v>
      </c>
      <c r="D32" s="146"/>
      <c r="E32" s="145"/>
    </row>
    <row r="33" spans="1:5" ht="15" customHeight="1">
      <c r="A33" s="143">
        <v>25</v>
      </c>
      <c r="B33" s="144" t="s">
        <v>326</v>
      </c>
      <c r="C33" s="143">
        <v>12</v>
      </c>
      <c r="D33" s="146"/>
      <c r="E33" s="145"/>
    </row>
    <row r="34" spans="1:5" ht="15" customHeight="1" hidden="1">
      <c r="A34" s="143">
        <v>26</v>
      </c>
      <c r="B34" s="144" t="s">
        <v>462</v>
      </c>
      <c r="C34" s="143">
        <v>9</v>
      </c>
      <c r="D34" s="146"/>
      <c r="E34" s="145"/>
    </row>
    <row r="35" spans="1:5" ht="15" customHeight="1">
      <c r="A35" s="143">
        <v>27</v>
      </c>
      <c r="B35" s="144" t="s">
        <v>426</v>
      </c>
      <c r="C35" s="143">
        <v>26</v>
      </c>
      <c r="D35" s="146"/>
      <c r="E35" s="145"/>
    </row>
    <row r="36" spans="1:5" ht="15" customHeight="1">
      <c r="A36" s="143">
        <v>28</v>
      </c>
      <c r="B36" s="144" t="s">
        <v>327</v>
      </c>
      <c r="C36" s="143">
        <v>15</v>
      </c>
      <c r="D36" s="146"/>
      <c r="E36" s="145"/>
    </row>
    <row r="37" spans="1:5" ht="15" customHeight="1">
      <c r="A37" s="143">
        <v>29</v>
      </c>
      <c r="B37" s="144" t="s">
        <v>328</v>
      </c>
      <c r="C37" s="149">
        <v>45</v>
      </c>
      <c r="D37" s="146"/>
      <c r="E37" s="145"/>
    </row>
    <row r="38" spans="1:5" ht="15" customHeight="1">
      <c r="A38" s="143">
        <v>30</v>
      </c>
      <c r="B38" s="144" t="s">
        <v>708</v>
      </c>
      <c r="C38" s="143">
        <v>3</v>
      </c>
      <c r="D38" s="146"/>
      <c r="E38" s="145"/>
    </row>
    <row r="39" spans="1:5" ht="15" customHeight="1">
      <c r="A39" s="143">
        <v>31</v>
      </c>
      <c r="B39" s="144" t="s">
        <v>329</v>
      </c>
      <c r="C39" s="143">
        <v>1</v>
      </c>
      <c r="D39" s="146"/>
      <c r="E39" s="145"/>
    </row>
    <row r="40" spans="1:5" ht="15" customHeight="1" hidden="1">
      <c r="A40" s="143">
        <v>32</v>
      </c>
      <c r="B40" s="144" t="s">
        <v>463</v>
      </c>
      <c r="C40" s="143">
        <v>3</v>
      </c>
      <c r="D40" s="146"/>
      <c r="E40" s="145"/>
    </row>
    <row r="41" spans="1:5" ht="15" customHeight="1">
      <c r="A41" s="143">
        <v>33</v>
      </c>
      <c r="B41" s="144" t="s">
        <v>427</v>
      </c>
      <c r="C41" s="143">
        <v>3</v>
      </c>
      <c r="D41" s="146"/>
      <c r="E41" s="145"/>
    </row>
    <row r="42" spans="1:5" ht="15" customHeight="1">
      <c r="A42" s="143">
        <v>34</v>
      </c>
      <c r="B42" s="144" t="s">
        <v>330</v>
      </c>
      <c r="C42" s="143">
        <v>2</v>
      </c>
      <c r="D42" s="146"/>
      <c r="E42" s="145"/>
    </row>
    <row r="43" spans="1:5" ht="15" customHeight="1">
      <c r="A43" s="143">
        <v>35</v>
      </c>
      <c r="B43" s="144" t="s">
        <v>331</v>
      </c>
      <c r="C43" s="143">
        <v>12</v>
      </c>
      <c r="D43" s="146"/>
      <c r="E43" s="145"/>
    </row>
    <row r="44" spans="1:5" ht="15" customHeight="1">
      <c r="A44" s="143">
        <v>36</v>
      </c>
      <c r="B44" s="144" t="s">
        <v>332</v>
      </c>
      <c r="C44" s="143">
        <v>48</v>
      </c>
      <c r="D44" s="146"/>
      <c r="E44" s="145"/>
    </row>
    <row r="45" spans="1:5" ht="15" customHeight="1" hidden="1">
      <c r="A45" s="143">
        <v>37</v>
      </c>
      <c r="B45" s="233" t="s">
        <v>333</v>
      </c>
      <c r="C45" s="143">
        <v>1</v>
      </c>
      <c r="D45" s="146"/>
      <c r="E45" s="145"/>
    </row>
    <row r="46" spans="1:5" ht="15" customHeight="1" hidden="1">
      <c r="A46" s="143">
        <v>38</v>
      </c>
      <c r="B46" s="233" t="s">
        <v>334</v>
      </c>
      <c r="C46" s="143">
        <v>1</v>
      </c>
      <c r="D46" s="146"/>
      <c r="E46" s="145"/>
    </row>
    <row r="47" spans="1:5" ht="15" customHeight="1">
      <c r="A47" s="143">
        <v>39</v>
      </c>
      <c r="B47" s="144" t="s">
        <v>465</v>
      </c>
      <c r="C47" s="143">
        <v>3</v>
      </c>
      <c r="D47" s="146"/>
      <c r="E47" s="145"/>
    </row>
    <row r="48" spans="1:5" ht="15" customHeight="1" hidden="1">
      <c r="A48" s="143">
        <v>40</v>
      </c>
      <c r="B48" s="233" t="s">
        <v>466</v>
      </c>
      <c r="C48" s="143"/>
      <c r="D48" s="146"/>
      <c r="E48" s="145"/>
    </row>
    <row r="49" spans="1:5" ht="15" customHeight="1">
      <c r="A49" s="143">
        <v>41</v>
      </c>
      <c r="B49" s="144" t="s">
        <v>680</v>
      </c>
      <c r="C49" s="143">
        <v>2</v>
      </c>
      <c r="D49" s="146"/>
      <c r="E49" s="145"/>
    </row>
    <row r="50" spans="1:5" ht="15" customHeight="1">
      <c r="A50" s="143">
        <v>42</v>
      </c>
      <c r="B50" s="144" t="s">
        <v>562</v>
      </c>
      <c r="C50" s="143">
        <v>2</v>
      </c>
      <c r="D50" s="146"/>
      <c r="E50" s="145"/>
    </row>
    <row r="51" spans="1:5" ht="15" customHeight="1">
      <c r="A51" s="143">
        <v>43</v>
      </c>
      <c r="B51" s="144" t="s">
        <v>467</v>
      </c>
      <c r="C51" s="143">
        <v>9</v>
      </c>
      <c r="D51" s="146"/>
      <c r="E51" s="145"/>
    </row>
    <row r="52" spans="1:5" ht="15" customHeight="1">
      <c r="A52" s="143">
        <v>44</v>
      </c>
      <c r="B52" s="144" t="s">
        <v>468</v>
      </c>
      <c r="C52" s="143">
        <v>15</v>
      </c>
      <c r="D52" s="146"/>
      <c r="E52" s="145"/>
    </row>
    <row r="53" spans="1:5" ht="15" customHeight="1">
      <c r="A53" s="143">
        <v>45</v>
      </c>
      <c r="B53" s="199" t="s">
        <v>469</v>
      </c>
      <c r="C53" s="143">
        <v>2</v>
      </c>
      <c r="D53" s="146"/>
      <c r="E53" s="145"/>
    </row>
    <row r="54" spans="1:5" ht="15" customHeight="1">
      <c r="A54" s="143">
        <v>46</v>
      </c>
      <c r="B54" s="199" t="s">
        <v>470</v>
      </c>
      <c r="C54" s="143">
        <v>1</v>
      </c>
      <c r="D54" s="146"/>
      <c r="E54" s="145"/>
    </row>
    <row r="55" spans="1:5" ht="15" customHeight="1" hidden="1">
      <c r="A55" s="143">
        <v>47</v>
      </c>
      <c r="B55" s="199" t="s">
        <v>529</v>
      </c>
      <c r="C55" s="143">
        <v>3</v>
      </c>
      <c r="D55" s="146"/>
      <c r="E55" s="145"/>
    </row>
    <row r="56" spans="1:5" ht="15" customHeight="1">
      <c r="A56" s="143">
        <v>48</v>
      </c>
      <c r="B56" s="199" t="s">
        <v>584</v>
      </c>
      <c r="C56" s="143">
        <v>3</v>
      </c>
      <c r="D56" s="146"/>
      <c r="E56" s="145"/>
    </row>
    <row r="57" spans="1:5" ht="15" customHeight="1">
      <c r="A57" s="143">
        <v>49</v>
      </c>
      <c r="B57" s="199" t="s">
        <v>681</v>
      </c>
      <c r="C57" s="143">
        <v>6</v>
      </c>
      <c r="D57" s="146"/>
      <c r="E57" s="145"/>
    </row>
    <row r="58" spans="1:5" ht="15" customHeight="1">
      <c r="A58" s="524" t="s">
        <v>100</v>
      </c>
      <c r="B58" s="524"/>
      <c r="C58" s="524"/>
      <c r="D58" s="524"/>
      <c r="E58" s="323"/>
    </row>
    <row r="59" spans="1:5" ht="15" customHeight="1">
      <c r="A59" s="90"/>
      <c r="B59" s="90"/>
      <c r="C59" s="90"/>
      <c r="D59" s="90"/>
      <c r="E59" s="90"/>
    </row>
    <row r="60" spans="1:5" ht="15" customHeight="1">
      <c r="A60" s="311"/>
      <c r="B60" s="311"/>
      <c r="C60" s="311"/>
      <c r="D60" s="311"/>
      <c r="E60" s="31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2">
    <mergeCell ref="A58:D58"/>
    <mergeCell ref="A7:E7"/>
  </mergeCells>
  <printOptions/>
  <pageMargins left="0.9055118110236221" right="0.2362204724409449" top="0.42" bottom="0.17" header="0.27" footer="0.17"/>
  <pageSetup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61"/>
  <sheetViews>
    <sheetView tabSelected="1" zoomScale="175" zoomScaleNormal="175" zoomScalePageLayoutView="0" workbookViewId="0" topLeftCell="A49">
      <selection activeCell="I43" sqref="I43"/>
    </sheetView>
  </sheetViews>
  <sheetFormatPr defaultColWidth="9.140625" defaultRowHeight="15"/>
  <cols>
    <col min="1" max="1" width="21.57421875" style="0" customWidth="1"/>
    <col min="2" max="2" width="32.00390625" style="0" customWidth="1"/>
    <col min="3" max="3" width="19.421875" style="0" customWidth="1"/>
    <col min="4" max="4" width="14.00390625" style="0" bestFit="1" customWidth="1"/>
    <col min="6" max="6" width="8.7109375" style="0" bestFit="1" customWidth="1"/>
  </cols>
  <sheetData>
    <row r="1" spans="1:6" s="1" customFormat="1" ht="15.75">
      <c r="A1" s="90"/>
      <c r="B1" s="90"/>
      <c r="C1" s="90"/>
      <c r="D1" s="90"/>
      <c r="E1" s="90"/>
      <c r="F1" s="90"/>
    </row>
    <row r="2" spans="1:6" s="1" customFormat="1" ht="15.75">
      <c r="A2" s="90"/>
      <c r="B2" s="90"/>
      <c r="C2" s="90"/>
      <c r="D2" s="90"/>
      <c r="E2" s="90"/>
      <c r="F2" s="90"/>
    </row>
    <row r="3" spans="1:6" s="1" customFormat="1" ht="15.75">
      <c r="A3" s="90"/>
      <c r="B3" s="90"/>
      <c r="C3" s="90"/>
      <c r="D3" s="90"/>
      <c r="E3" s="90"/>
      <c r="F3" s="90"/>
    </row>
    <row r="4" spans="1:6" s="1" customFormat="1" ht="15.75">
      <c r="A4" s="90"/>
      <c r="B4" s="90"/>
      <c r="C4" s="90"/>
      <c r="D4" s="90"/>
      <c r="E4" s="90"/>
      <c r="F4" s="90"/>
    </row>
    <row r="5" spans="1:6" s="1" customFormat="1" ht="15.75">
      <c r="A5" s="90"/>
      <c r="B5" s="90"/>
      <c r="C5" s="90"/>
      <c r="D5" s="90"/>
      <c r="E5" s="90"/>
      <c r="F5" s="90"/>
    </row>
    <row r="6" spans="1:6" s="1" customFormat="1" ht="15.75">
      <c r="A6" s="90"/>
      <c r="B6" s="90"/>
      <c r="C6" s="90"/>
      <c r="D6" s="90"/>
      <c r="E6" s="90"/>
      <c r="F6" s="90"/>
    </row>
    <row r="7" spans="1:6" s="1" customFormat="1" ht="15.75">
      <c r="A7" s="90"/>
      <c r="B7" s="90"/>
      <c r="C7" s="90"/>
      <c r="D7" s="90"/>
      <c r="E7" s="90"/>
      <c r="F7" s="90"/>
    </row>
    <row r="8" spans="1:5" ht="16.5">
      <c r="A8" s="526" t="s">
        <v>335</v>
      </c>
      <c r="B8" s="526"/>
      <c r="C8" s="526"/>
      <c r="D8" s="10"/>
      <c r="E8" s="10"/>
    </row>
    <row r="9" spans="1:5" ht="16.5">
      <c r="A9" s="99"/>
      <c r="B9" s="99"/>
      <c r="C9" s="99"/>
      <c r="D9" s="10"/>
      <c r="E9" s="10"/>
    </row>
    <row r="10" spans="1:5" ht="33">
      <c r="A10" s="120" t="s">
        <v>335</v>
      </c>
      <c r="B10" s="120" t="s">
        <v>336</v>
      </c>
      <c r="C10" s="120" t="s">
        <v>337</v>
      </c>
      <c r="D10" s="120" t="s">
        <v>338</v>
      </c>
      <c r="E10" s="10"/>
    </row>
    <row r="11" spans="1:5" ht="14.25" customHeight="1">
      <c r="A11" s="527" t="s">
        <v>339</v>
      </c>
      <c r="B11" s="121" t="s">
        <v>340</v>
      </c>
      <c r="C11" s="528">
        <v>60</v>
      </c>
      <c r="D11" s="529"/>
      <c r="E11" s="10"/>
    </row>
    <row r="12" spans="1:5" ht="16.5">
      <c r="A12" s="527"/>
      <c r="B12" s="121" t="s">
        <v>341</v>
      </c>
      <c r="C12" s="528"/>
      <c r="D12" s="529"/>
      <c r="E12" s="10"/>
    </row>
    <row r="13" spans="1:5" ht="16.5">
      <c r="A13" s="527"/>
      <c r="B13" s="121" t="s">
        <v>342</v>
      </c>
      <c r="C13" s="528"/>
      <c r="D13" s="529"/>
      <c r="E13" s="10"/>
    </row>
    <row r="14" spans="1:5" ht="16.5">
      <c r="A14" s="527"/>
      <c r="B14" s="121" t="s">
        <v>343</v>
      </c>
      <c r="C14" s="528"/>
      <c r="D14" s="529"/>
      <c r="E14" s="10"/>
    </row>
    <row r="15" spans="1:5" ht="16.5">
      <c r="A15" s="527"/>
      <c r="B15" s="121" t="s">
        <v>344</v>
      </c>
      <c r="C15" s="528"/>
      <c r="D15" s="529"/>
      <c r="E15" s="10"/>
    </row>
    <row r="16" spans="1:5" ht="16.5">
      <c r="A16" s="120" t="s">
        <v>345</v>
      </c>
      <c r="B16" s="121" t="s">
        <v>346</v>
      </c>
      <c r="C16" s="122">
        <v>60</v>
      </c>
      <c r="D16" s="529"/>
      <c r="E16" s="10"/>
    </row>
    <row r="17" spans="1:5" ht="14.25" customHeight="1">
      <c r="A17" s="527" t="s">
        <v>347</v>
      </c>
      <c r="B17" s="121" t="s">
        <v>348</v>
      </c>
      <c r="C17" s="528">
        <v>60</v>
      </c>
      <c r="D17" s="529"/>
      <c r="E17" s="10"/>
    </row>
    <row r="18" spans="1:5" ht="16.5">
      <c r="A18" s="527"/>
      <c r="B18" s="121" t="s">
        <v>349</v>
      </c>
      <c r="C18" s="528"/>
      <c r="D18" s="529"/>
      <c r="E18" s="10"/>
    </row>
    <row r="19" spans="1:5" ht="33">
      <c r="A19" s="527"/>
      <c r="B19" s="121" t="s">
        <v>350</v>
      </c>
      <c r="C19" s="528"/>
      <c r="D19" s="529"/>
      <c r="E19" s="10"/>
    </row>
    <row r="20" spans="1:5" ht="16.5">
      <c r="A20" s="527"/>
      <c r="B20" s="121" t="s">
        <v>351</v>
      </c>
      <c r="C20" s="528"/>
      <c r="D20" s="529"/>
      <c r="E20" s="10"/>
    </row>
    <row r="21" spans="1:5" ht="16.5">
      <c r="A21" s="527"/>
      <c r="B21" s="121" t="s">
        <v>352</v>
      </c>
      <c r="C21" s="528"/>
      <c r="D21" s="529"/>
      <c r="E21" s="10"/>
    </row>
    <row r="22" spans="1:5" ht="14.25" customHeight="1">
      <c r="A22" s="527" t="s">
        <v>353</v>
      </c>
      <c r="B22" s="121" t="s">
        <v>354</v>
      </c>
      <c r="C22" s="528">
        <v>40</v>
      </c>
      <c r="D22" s="529"/>
      <c r="E22" s="10"/>
    </row>
    <row r="23" spans="1:5" ht="16.5">
      <c r="A23" s="527"/>
      <c r="B23" s="121" t="s">
        <v>355</v>
      </c>
      <c r="C23" s="528"/>
      <c r="D23" s="529"/>
      <c r="E23" s="10"/>
    </row>
    <row r="24" spans="1:5" ht="33">
      <c r="A24" s="527"/>
      <c r="B24" s="121" t="s">
        <v>356</v>
      </c>
      <c r="C24" s="528"/>
      <c r="D24" s="529"/>
      <c r="E24" s="10"/>
    </row>
    <row r="25" spans="1:5" ht="33">
      <c r="A25" s="527"/>
      <c r="B25" s="121" t="s">
        <v>357</v>
      </c>
      <c r="C25" s="528"/>
      <c r="D25" s="529"/>
      <c r="E25" s="10"/>
    </row>
    <row r="26" spans="1:5" ht="16.5">
      <c r="A26" s="527"/>
      <c r="B26" s="121" t="s">
        <v>358</v>
      </c>
      <c r="C26" s="528"/>
      <c r="D26" s="529"/>
      <c r="E26" s="10"/>
    </row>
    <row r="27" spans="1:5" ht="16.5">
      <c r="A27" s="527"/>
      <c r="B27" s="121" t="s">
        <v>359</v>
      </c>
      <c r="C27" s="528"/>
      <c r="D27" s="529"/>
      <c r="E27" s="10"/>
    </row>
    <row r="28" spans="1:5" ht="16.5">
      <c r="A28" s="527"/>
      <c r="B28" s="121" t="s">
        <v>360</v>
      </c>
      <c r="C28" s="528"/>
      <c r="D28" s="529"/>
      <c r="E28" s="10"/>
    </row>
    <row r="29" spans="1:5" ht="33">
      <c r="A29" s="527"/>
      <c r="B29" s="121" t="s">
        <v>361</v>
      </c>
      <c r="C29" s="528"/>
      <c r="D29" s="529"/>
      <c r="E29" s="10"/>
    </row>
    <row r="30" spans="1:5" ht="16.5">
      <c r="A30" s="527"/>
      <c r="B30" s="121" t="s">
        <v>362</v>
      </c>
      <c r="C30" s="528"/>
      <c r="D30" s="529"/>
      <c r="E30" s="10"/>
    </row>
    <row r="31" spans="1:5" ht="14.25" customHeight="1">
      <c r="A31" s="527" t="s">
        <v>363</v>
      </c>
      <c r="B31" s="121" t="s">
        <v>364</v>
      </c>
      <c r="C31" s="528">
        <v>40</v>
      </c>
      <c r="D31" s="529"/>
      <c r="E31" s="10"/>
    </row>
    <row r="32" spans="1:5" ht="16.5">
      <c r="A32" s="527"/>
      <c r="B32" s="121" t="s">
        <v>365</v>
      </c>
      <c r="C32" s="528"/>
      <c r="D32" s="529"/>
      <c r="E32" s="10"/>
    </row>
    <row r="33" spans="1:5" ht="16.5">
      <c r="A33" s="527"/>
      <c r="B33" s="121" t="s">
        <v>366</v>
      </c>
      <c r="C33" s="528"/>
      <c r="D33" s="529"/>
      <c r="E33" s="10"/>
    </row>
    <row r="34" spans="1:5" ht="16.5">
      <c r="A34" s="527"/>
      <c r="B34" s="121" t="s">
        <v>367</v>
      </c>
      <c r="C34" s="528"/>
      <c r="D34" s="529"/>
      <c r="E34" s="10"/>
    </row>
    <row r="35" spans="1:5" ht="16.5">
      <c r="A35" s="527"/>
      <c r="B35" s="121" t="s">
        <v>368</v>
      </c>
      <c r="C35" s="528"/>
      <c r="D35" s="529"/>
      <c r="E35" s="10"/>
    </row>
    <row r="36" spans="1:5" ht="16.5">
      <c r="A36" s="527"/>
      <c r="B36" s="121" t="s">
        <v>369</v>
      </c>
      <c r="C36" s="528"/>
      <c r="D36" s="529"/>
      <c r="E36" s="10"/>
    </row>
    <row r="37" spans="1:5" ht="14.25" customHeight="1">
      <c r="A37" s="527" t="s">
        <v>370</v>
      </c>
      <c r="B37" s="121" t="s">
        <v>371</v>
      </c>
      <c r="C37" s="528">
        <v>120</v>
      </c>
      <c r="D37" s="529"/>
      <c r="E37" s="10"/>
    </row>
    <row r="38" spans="1:5" ht="16.5">
      <c r="A38" s="527"/>
      <c r="B38" s="121" t="s">
        <v>372</v>
      </c>
      <c r="C38" s="528"/>
      <c r="D38" s="529"/>
      <c r="E38" s="10"/>
    </row>
    <row r="39" spans="1:5" ht="33">
      <c r="A39" s="527"/>
      <c r="B39" s="121" t="s">
        <v>373</v>
      </c>
      <c r="C39" s="528"/>
      <c r="D39" s="529"/>
      <c r="E39" s="10"/>
    </row>
    <row r="40" spans="1:5" ht="16.5">
      <c r="A40" s="527"/>
      <c r="B40" s="121" t="s">
        <v>374</v>
      </c>
      <c r="C40" s="528"/>
      <c r="D40" s="529"/>
      <c r="E40" s="10"/>
    </row>
    <row r="41" spans="1:5" ht="14.25" customHeight="1">
      <c r="A41" s="527" t="s">
        <v>375</v>
      </c>
      <c r="B41" s="121" t="s">
        <v>376</v>
      </c>
      <c r="C41" s="528">
        <v>60</v>
      </c>
      <c r="D41" s="529"/>
      <c r="E41" s="10"/>
    </row>
    <row r="42" spans="1:5" ht="16.5">
      <c r="A42" s="527"/>
      <c r="B42" s="121" t="s">
        <v>377</v>
      </c>
      <c r="C42" s="528"/>
      <c r="D42" s="529"/>
      <c r="E42" s="10"/>
    </row>
    <row r="43" spans="1:5" ht="49.5">
      <c r="A43" s="527"/>
      <c r="B43" s="121" t="s">
        <v>378</v>
      </c>
      <c r="C43" s="528"/>
      <c r="D43" s="529"/>
      <c r="E43" s="10"/>
    </row>
    <row r="44" spans="1:5" ht="16.5">
      <c r="A44" s="527"/>
      <c r="B44" s="121" t="s">
        <v>379</v>
      </c>
      <c r="C44" s="528"/>
      <c r="D44" s="529"/>
      <c r="E44" s="10"/>
    </row>
    <row r="45" spans="1:5" ht="73.5" customHeight="1">
      <c r="A45" s="120" t="s">
        <v>380</v>
      </c>
      <c r="B45" s="121" t="s">
        <v>381</v>
      </c>
      <c r="C45" s="122">
        <v>60</v>
      </c>
      <c r="D45" s="529"/>
      <c r="E45" s="10"/>
    </row>
    <row r="46" spans="1:5" ht="16.5">
      <c r="A46" s="120" t="s">
        <v>382</v>
      </c>
      <c r="B46" s="121" t="s">
        <v>383</v>
      </c>
      <c r="C46" s="122">
        <v>60</v>
      </c>
      <c r="D46" s="529"/>
      <c r="E46" s="10"/>
    </row>
    <row r="47" spans="1:5" ht="16.5">
      <c r="A47" s="123" t="s">
        <v>384</v>
      </c>
      <c r="B47" s="121" t="s">
        <v>385</v>
      </c>
      <c r="C47" s="122">
        <v>60</v>
      </c>
      <c r="D47" s="529"/>
      <c r="E47" s="10"/>
    </row>
    <row r="48" spans="1:5" ht="16.5">
      <c r="A48" s="123" t="s">
        <v>374</v>
      </c>
      <c r="B48" s="121" t="s">
        <v>386</v>
      </c>
      <c r="C48" s="122">
        <v>60</v>
      </c>
      <c r="D48" s="529"/>
      <c r="E48" s="10"/>
    </row>
    <row r="49" spans="1:5" ht="16.5" customHeight="1">
      <c r="A49" s="532" t="s">
        <v>387</v>
      </c>
      <c r="B49" s="121" t="s">
        <v>388</v>
      </c>
      <c r="C49" s="122">
        <v>80</v>
      </c>
      <c r="D49" s="529"/>
      <c r="E49" s="10"/>
    </row>
    <row r="50" spans="1:5" ht="15.75" customHeight="1">
      <c r="A50" s="532"/>
      <c r="B50" s="121" t="s">
        <v>389</v>
      </c>
      <c r="C50" s="122">
        <v>80</v>
      </c>
      <c r="D50" s="529"/>
      <c r="E50" s="10"/>
    </row>
    <row r="51" spans="1:5" ht="15.75" customHeight="1">
      <c r="A51" s="532"/>
      <c r="B51" s="121" t="s">
        <v>390</v>
      </c>
      <c r="C51" s="122">
        <v>80</v>
      </c>
      <c r="D51" s="529"/>
      <c r="E51" s="10"/>
    </row>
    <row r="52" spans="1:5" ht="15.75" customHeight="1">
      <c r="A52" s="532"/>
      <c r="B52" s="121" t="s">
        <v>391</v>
      </c>
      <c r="C52" s="122">
        <v>80</v>
      </c>
      <c r="D52" s="529"/>
      <c r="E52" s="10"/>
    </row>
    <row r="53" spans="1:5" ht="15.75" customHeight="1">
      <c r="A53" s="532"/>
      <c r="B53" s="121" t="s">
        <v>392</v>
      </c>
      <c r="C53" s="122">
        <v>80</v>
      </c>
      <c r="D53" s="529"/>
      <c r="E53" s="10"/>
    </row>
    <row r="54" spans="1:5" ht="16.5">
      <c r="A54" s="532" t="s">
        <v>393</v>
      </c>
      <c r="B54" s="121" t="s">
        <v>394</v>
      </c>
      <c r="C54" s="122">
        <v>60</v>
      </c>
      <c r="D54" s="529"/>
      <c r="E54" s="10"/>
    </row>
    <row r="55" spans="1:5" ht="16.5">
      <c r="A55" s="532"/>
      <c r="B55" s="121" t="s">
        <v>389</v>
      </c>
      <c r="C55" s="122">
        <v>60</v>
      </c>
      <c r="D55" s="529"/>
      <c r="E55" s="10"/>
    </row>
    <row r="56" spans="1:5" ht="16.5">
      <c r="A56" s="532"/>
      <c r="B56" s="121" t="s">
        <v>390</v>
      </c>
      <c r="C56" s="122">
        <v>60</v>
      </c>
      <c r="D56" s="529"/>
      <c r="E56" s="10"/>
    </row>
    <row r="57" spans="1:5" ht="16.5">
      <c r="A57" s="532"/>
      <c r="B57" s="121" t="s">
        <v>391</v>
      </c>
      <c r="C57" s="122">
        <v>60</v>
      </c>
      <c r="D57" s="529"/>
      <c r="E57" s="10"/>
    </row>
    <row r="58" spans="1:5" ht="16.5">
      <c r="A58" s="532"/>
      <c r="B58" s="121" t="s">
        <v>392</v>
      </c>
      <c r="C58" s="122">
        <v>60</v>
      </c>
      <c r="D58" s="529"/>
      <c r="E58" s="10"/>
    </row>
    <row r="59" spans="1:5" ht="16.5">
      <c r="A59" s="531" t="s">
        <v>395</v>
      </c>
      <c r="B59" s="531"/>
      <c r="C59" s="301">
        <f>SUM(C11:C58)</f>
        <v>1380</v>
      </c>
      <c r="D59" s="124"/>
      <c r="E59" s="10"/>
    </row>
    <row r="60" spans="1:5" ht="16.5">
      <c r="A60" s="530" t="s">
        <v>532</v>
      </c>
      <c r="B60" s="530"/>
      <c r="C60" s="302">
        <f>C59*3</f>
        <v>4140</v>
      </c>
      <c r="D60" s="300"/>
      <c r="E60" s="10"/>
    </row>
    <row r="61" spans="1:5" ht="16.5">
      <c r="A61" s="47"/>
      <c r="B61" s="47"/>
      <c r="C61" s="125"/>
      <c r="D61" s="126"/>
      <c r="E61" s="10"/>
    </row>
  </sheetData>
  <sheetProtection/>
  <mergeCells count="18">
    <mergeCell ref="A60:B60"/>
    <mergeCell ref="C31:C36"/>
    <mergeCell ref="A59:B59"/>
    <mergeCell ref="A37:A40"/>
    <mergeCell ref="C37:C40"/>
    <mergeCell ref="A41:A44"/>
    <mergeCell ref="C41:C44"/>
    <mergeCell ref="A49:A53"/>
    <mergeCell ref="A54:A58"/>
    <mergeCell ref="A8:C8"/>
    <mergeCell ref="A11:A15"/>
    <mergeCell ref="C11:C15"/>
    <mergeCell ref="D11:D58"/>
    <mergeCell ref="A17:A21"/>
    <mergeCell ref="C17:C21"/>
    <mergeCell ref="A22:A30"/>
    <mergeCell ref="C22:C30"/>
    <mergeCell ref="A31:A36"/>
  </mergeCells>
  <printOptions horizontalCentered="1"/>
  <pageMargins left="0.9448818897637796" right="0.6692913385826772" top="0.63" bottom="0.4724409448818898" header="0.23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6:E45"/>
  <sheetViews>
    <sheetView view="pageBreakPreview" zoomScaleSheetLayoutView="100" zoomScalePageLayoutView="0" workbookViewId="0" topLeftCell="A1">
      <selection activeCell="D11" sqref="D11"/>
    </sheetView>
  </sheetViews>
  <sheetFormatPr defaultColWidth="11.57421875" defaultRowHeight="15"/>
  <cols>
    <col min="1" max="1" width="48.8515625" style="56" customWidth="1"/>
    <col min="2" max="2" width="24.421875" style="56" customWidth="1"/>
    <col min="3" max="3" width="5.140625" style="56" customWidth="1"/>
    <col min="4" max="4" width="4.421875" style="56" customWidth="1"/>
    <col min="5" max="16384" width="11.57421875" style="56" customWidth="1"/>
  </cols>
  <sheetData>
    <row r="6" spans="1:2" ht="14.25">
      <c r="A6" s="429" t="s">
        <v>723</v>
      </c>
      <c r="B6" s="429"/>
    </row>
    <row r="7" spans="1:4" ht="14.25">
      <c r="A7" s="429" t="s">
        <v>720</v>
      </c>
      <c r="B7" s="429"/>
      <c r="C7" s="64"/>
      <c r="D7" s="64"/>
    </row>
    <row r="8" spans="1:4" ht="14.25">
      <c r="A8" s="65" t="s">
        <v>0</v>
      </c>
      <c r="B8" s="112"/>
      <c r="C8" s="64"/>
      <c r="D8" s="64"/>
    </row>
    <row r="9" spans="1:4" ht="14.25">
      <c r="A9" s="65" t="s">
        <v>1</v>
      </c>
      <c r="B9" s="112"/>
      <c r="C9" s="64"/>
      <c r="D9" s="64"/>
    </row>
    <row r="10" spans="1:4" ht="14.25">
      <c r="A10" s="64" t="s">
        <v>2</v>
      </c>
      <c r="B10" s="113"/>
      <c r="C10" s="64"/>
      <c r="D10" s="64"/>
    </row>
    <row r="11" spans="1:4" ht="14.25">
      <c r="A11" s="64" t="s">
        <v>3</v>
      </c>
      <c r="B11" s="113"/>
      <c r="C11" s="64"/>
      <c r="D11" s="64"/>
    </row>
    <row r="12" spans="1:4" ht="14.25">
      <c r="A12" s="64" t="s">
        <v>4</v>
      </c>
      <c r="B12" s="113"/>
      <c r="C12" s="64"/>
      <c r="D12" s="64"/>
    </row>
    <row r="13" spans="1:4" ht="14.25">
      <c r="A13" s="64" t="s">
        <v>5</v>
      </c>
      <c r="B13" s="113"/>
      <c r="C13" s="64"/>
      <c r="D13" s="64"/>
    </row>
    <row r="14" spans="1:4" ht="14.25">
      <c r="A14" s="66" t="s">
        <v>6</v>
      </c>
      <c r="B14" s="112"/>
      <c r="C14" s="64"/>
      <c r="D14" s="64"/>
    </row>
    <row r="15" spans="1:4" ht="14.25">
      <c r="A15" s="64" t="s">
        <v>7</v>
      </c>
      <c r="B15" s="113"/>
      <c r="C15" s="64"/>
      <c r="D15" s="64"/>
    </row>
    <row r="16" spans="1:4" ht="14.25">
      <c r="A16" s="64" t="s">
        <v>8</v>
      </c>
      <c r="B16" s="113"/>
      <c r="C16" s="64"/>
      <c r="D16" s="64"/>
    </row>
    <row r="17" spans="1:4" ht="14.25">
      <c r="A17" s="64" t="s">
        <v>455</v>
      </c>
      <c r="B17" s="113"/>
      <c r="C17" s="64"/>
      <c r="D17" s="64"/>
    </row>
    <row r="18" spans="1:4" ht="14.25">
      <c r="A18" s="64" t="s">
        <v>9</v>
      </c>
      <c r="B18" s="430"/>
      <c r="C18" s="64"/>
      <c r="D18" s="64"/>
    </row>
    <row r="19" spans="1:4" ht="14.25">
      <c r="A19" s="64" t="s">
        <v>10</v>
      </c>
      <c r="B19" s="430"/>
      <c r="C19" s="64"/>
      <c r="D19" s="64"/>
    </row>
    <row r="20" spans="1:4" ht="14.25">
      <c r="A20" s="64" t="s">
        <v>11</v>
      </c>
      <c r="B20" s="113"/>
      <c r="C20" s="64"/>
      <c r="D20" s="64"/>
    </row>
    <row r="21" spans="1:4" ht="14.25">
      <c r="A21" s="67" t="s">
        <v>12</v>
      </c>
      <c r="B21" s="112"/>
      <c r="C21" s="64"/>
      <c r="D21" s="64"/>
    </row>
    <row r="22" spans="1:4" ht="14.25">
      <c r="A22" s="64" t="s">
        <v>13</v>
      </c>
      <c r="B22" s="113"/>
      <c r="C22" s="64"/>
      <c r="D22" s="64"/>
    </row>
    <row r="23" spans="1:4" ht="14.25">
      <c r="A23" s="64" t="s">
        <v>399</v>
      </c>
      <c r="B23" s="113"/>
      <c r="C23" s="64"/>
      <c r="D23" s="64"/>
    </row>
    <row r="24" spans="1:4" ht="14.25">
      <c r="A24" s="65" t="s">
        <v>14</v>
      </c>
      <c r="B24" s="112"/>
      <c r="C24" s="64"/>
      <c r="D24" s="64"/>
    </row>
    <row r="25" spans="1:4" ht="14.25">
      <c r="A25" s="65" t="s">
        <v>15</v>
      </c>
      <c r="B25" s="112"/>
      <c r="C25" s="64"/>
      <c r="D25" s="64"/>
    </row>
    <row r="26" spans="1:4" ht="14.25">
      <c r="A26" s="65" t="s">
        <v>16</v>
      </c>
      <c r="B26" s="112"/>
      <c r="C26" s="64"/>
      <c r="D26" s="64"/>
    </row>
    <row r="27" spans="1:4" ht="14.25">
      <c r="A27" s="64" t="s">
        <v>559</v>
      </c>
      <c r="B27" s="113"/>
      <c r="C27" s="64"/>
      <c r="D27" s="64"/>
    </row>
    <row r="28" spans="1:4" ht="12.75" customHeight="1">
      <c r="A28" s="64" t="s">
        <v>413</v>
      </c>
      <c r="B28" s="113"/>
      <c r="C28" s="64"/>
      <c r="D28" s="64"/>
    </row>
    <row r="29" spans="1:4" ht="14.25">
      <c r="A29" s="64" t="s">
        <v>17</v>
      </c>
      <c r="B29" s="113"/>
      <c r="C29" s="64"/>
      <c r="D29" s="64"/>
    </row>
    <row r="30" spans="1:4" ht="14.25">
      <c r="A30" s="65" t="s">
        <v>18</v>
      </c>
      <c r="B30" s="112"/>
      <c r="C30" s="64"/>
      <c r="D30" s="64"/>
    </row>
    <row r="31" spans="1:4" ht="14.25">
      <c r="A31" s="65" t="s">
        <v>19</v>
      </c>
      <c r="B31" s="112"/>
      <c r="C31" s="64"/>
      <c r="D31" s="64"/>
    </row>
    <row r="32" spans="1:4" ht="14.25">
      <c r="A32" s="65" t="s">
        <v>423</v>
      </c>
      <c r="B32" s="112"/>
      <c r="C32" s="64"/>
      <c r="D32" s="64"/>
    </row>
    <row r="33" spans="1:4" ht="14.25">
      <c r="A33" s="65" t="s">
        <v>422</v>
      </c>
      <c r="B33" s="112"/>
      <c r="C33" s="64"/>
      <c r="D33" s="64"/>
    </row>
    <row r="34" spans="1:4" ht="14.25">
      <c r="A34" s="65" t="s">
        <v>20</v>
      </c>
      <c r="B34" s="112"/>
      <c r="C34" s="64"/>
      <c r="D34" s="64"/>
    </row>
    <row r="35" spans="1:4" ht="14.25">
      <c r="A35" s="68" t="s">
        <v>21</v>
      </c>
      <c r="B35" s="114"/>
      <c r="C35" s="64"/>
      <c r="D35" s="64"/>
    </row>
    <row r="36" spans="1:4" ht="14.25">
      <c r="A36" s="69" t="s">
        <v>22</v>
      </c>
      <c r="B36" s="115"/>
      <c r="C36" s="64"/>
      <c r="D36" s="64"/>
    </row>
    <row r="37" spans="1:4" ht="14.25">
      <c r="A37" s="69" t="s">
        <v>23</v>
      </c>
      <c r="B37" s="115"/>
      <c r="C37" s="64"/>
      <c r="D37" s="64"/>
    </row>
    <row r="38" spans="1:4" ht="14.25">
      <c r="A38" s="69" t="s">
        <v>542</v>
      </c>
      <c r="B38" s="115"/>
      <c r="C38" s="64"/>
      <c r="D38" s="64"/>
    </row>
    <row r="39" spans="1:4" ht="14.25">
      <c r="A39" s="69" t="s">
        <v>24</v>
      </c>
      <c r="B39" s="115"/>
      <c r="C39" s="64"/>
      <c r="D39" s="64"/>
    </row>
    <row r="40" spans="1:4" ht="14.25">
      <c r="A40" s="69" t="s">
        <v>25</v>
      </c>
      <c r="B40" s="115"/>
      <c r="C40" s="64"/>
      <c r="D40" s="64"/>
    </row>
    <row r="41" spans="1:4" ht="14.25">
      <c r="A41" s="70" t="s">
        <v>26</v>
      </c>
      <c r="B41" s="111"/>
      <c r="C41" s="64"/>
      <c r="D41" s="64"/>
    </row>
    <row r="42" spans="1:4" ht="14.25">
      <c r="A42" s="70" t="s">
        <v>27</v>
      </c>
      <c r="B42" s="111"/>
      <c r="C42" s="64"/>
      <c r="D42" s="64"/>
    </row>
    <row r="43" spans="1:2" ht="14.25" hidden="1">
      <c r="A43" s="228" t="s">
        <v>555</v>
      </c>
      <c r="B43" s="215">
        <f>B41/3</f>
        <v>0</v>
      </c>
    </row>
    <row r="44" spans="1:2" ht="14.25" hidden="1">
      <c r="A44" s="229" t="s">
        <v>554</v>
      </c>
      <c r="B44" s="303">
        <f>B43-1080000</f>
        <v>-1080000</v>
      </c>
    </row>
    <row r="45" spans="1:5" ht="110.25" customHeight="1">
      <c r="A45" s="431" t="s">
        <v>718</v>
      </c>
      <c r="B45" s="431"/>
      <c r="C45" s="308"/>
      <c r="D45" s="308"/>
      <c r="E45" s="308"/>
    </row>
  </sheetData>
  <sheetProtection/>
  <mergeCells count="4">
    <mergeCell ref="A7:B7"/>
    <mergeCell ref="B18:B19"/>
    <mergeCell ref="A45:B45"/>
    <mergeCell ref="A6:B6"/>
  </mergeCells>
  <printOptions horizontalCentered="1"/>
  <pageMargins left="0.89" right="0.11811023622047245" top="0.56" bottom="0.1968503937007874" header="0" footer="0.11811023622047245"/>
  <pageSetup fitToWidth="0" fitToHeight="1" horizontalDpi="600" verticalDpi="600" orientation="portrait" paperSize="9" r:id="rId2"/>
  <headerFooter>
    <oddHeader>&amp;C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9:AA67"/>
  <sheetViews>
    <sheetView view="pageBreakPreview" zoomScale="106" zoomScaleNormal="75" zoomScaleSheetLayoutView="106" zoomScalePageLayoutView="0" workbookViewId="0" topLeftCell="A1">
      <selection activeCell="AA15" sqref="AA15"/>
    </sheetView>
  </sheetViews>
  <sheetFormatPr defaultColWidth="19.00390625" defaultRowHeight="15"/>
  <cols>
    <col min="1" max="1" width="4.28125" style="85" customWidth="1"/>
    <col min="2" max="2" width="29.140625" style="85" customWidth="1"/>
    <col min="3" max="3" width="5.28125" style="85" customWidth="1"/>
    <col min="4" max="4" width="9.8515625" style="85" bestFit="1" customWidth="1"/>
    <col min="5" max="5" width="8.8515625" style="85" customWidth="1"/>
    <col min="6" max="6" width="8.421875" style="85" customWidth="1"/>
    <col min="7" max="7" width="7.57421875" style="85" customWidth="1"/>
    <col min="8" max="8" width="7.7109375" style="85" customWidth="1"/>
    <col min="9" max="9" width="7.57421875" style="85" customWidth="1"/>
    <col min="10" max="10" width="7.421875" style="85" customWidth="1"/>
    <col min="11" max="11" width="7.7109375" style="85" customWidth="1"/>
    <col min="12" max="12" width="7.00390625" style="85" bestFit="1" customWidth="1"/>
    <col min="13" max="13" width="5.421875" style="85" customWidth="1"/>
    <col min="14" max="14" width="7.00390625" style="85" customWidth="1"/>
    <col min="15" max="15" width="8.140625" style="85" bestFit="1" customWidth="1"/>
    <col min="16" max="16" width="7.421875" style="85" customWidth="1"/>
    <col min="17" max="17" width="8.421875" style="85" customWidth="1"/>
    <col min="18" max="18" width="5.8515625" style="85" customWidth="1"/>
    <col min="19" max="19" width="7.57421875" style="85" customWidth="1"/>
    <col min="20" max="20" width="9.57421875" style="85" customWidth="1"/>
    <col min="21" max="22" width="8.421875" style="85" customWidth="1"/>
    <col min="23" max="23" width="7.57421875" style="85" hidden="1" customWidth="1"/>
    <col min="24" max="24" width="10.421875" style="85" customWidth="1"/>
    <col min="25" max="25" width="9.421875" style="85" customWidth="1"/>
    <col min="26" max="26" width="9.57421875" style="85" customWidth="1"/>
    <col min="27" max="27" width="13.8515625" style="85" customWidth="1"/>
    <col min="28" max="16384" width="19.00390625" style="85" customWidth="1"/>
  </cols>
  <sheetData>
    <row r="9" spans="1:27" ht="12.75">
      <c r="A9" s="420" t="s">
        <v>724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2"/>
      <c r="AA9" s="336"/>
    </row>
    <row r="10" spans="1:27" ht="15" customHeight="1">
      <c r="A10" s="71"/>
      <c r="B10" s="71"/>
      <c r="C10" s="71"/>
      <c r="D10" s="71"/>
      <c r="E10" s="71"/>
      <c r="F10" s="217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438" t="s">
        <v>396</v>
      </c>
      <c r="Z10" s="438"/>
      <c r="AA10" s="336"/>
    </row>
    <row r="11" spans="1:27" ht="34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333" t="s">
        <v>699</v>
      </c>
      <c r="Z11" s="334" t="s">
        <v>700</v>
      </c>
      <c r="AA11" s="336"/>
    </row>
    <row r="12" spans="1:27" ht="12.75" customHeight="1">
      <c r="A12" s="423" t="s">
        <v>28</v>
      </c>
      <c r="B12" s="413" t="s">
        <v>29</v>
      </c>
      <c r="C12" s="413" t="s">
        <v>449</v>
      </c>
      <c r="D12" s="413" t="s">
        <v>30</v>
      </c>
      <c r="E12" s="413" t="s">
        <v>31</v>
      </c>
      <c r="F12" s="413" t="s">
        <v>32</v>
      </c>
      <c r="G12" s="413" t="s">
        <v>33</v>
      </c>
      <c r="H12" s="413"/>
      <c r="I12" s="413"/>
      <c r="J12" s="413"/>
      <c r="K12" s="413"/>
      <c r="L12" s="413"/>
      <c r="M12" s="413"/>
      <c r="N12" s="413"/>
      <c r="O12" s="75"/>
      <c r="P12" s="75"/>
      <c r="Q12" s="75"/>
      <c r="R12" s="75"/>
      <c r="S12" s="75"/>
      <c r="T12" s="445" t="s">
        <v>34</v>
      </c>
      <c r="U12" s="445"/>
      <c r="V12" s="445"/>
      <c r="W12" s="445"/>
      <c r="X12" s="413" t="s">
        <v>419</v>
      </c>
      <c r="Y12" s="413" t="s">
        <v>418</v>
      </c>
      <c r="Z12" s="413" t="s">
        <v>398</v>
      </c>
      <c r="AA12" s="336"/>
    </row>
    <row r="13" spans="1:27" ht="39.75" customHeight="1">
      <c r="A13" s="423"/>
      <c r="B13" s="413"/>
      <c r="C13" s="413"/>
      <c r="D13" s="413"/>
      <c r="E13" s="413"/>
      <c r="F13" s="413"/>
      <c r="G13" s="75" t="s">
        <v>35</v>
      </c>
      <c r="H13" s="75" t="s">
        <v>697</v>
      </c>
      <c r="I13" s="75" t="s">
        <v>37</v>
      </c>
      <c r="J13" s="75" t="s">
        <v>38</v>
      </c>
      <c r="K13" s="75" t="s">
        <v>39</v>
      </c>
      <c r="L13" s="75" t="s">
        <v>40</v>
      </c>
      <c r="M13" s="75" t="s">
        <v>41</v>
      </c>
      <c r="N13" s="75" t="s">
        <v>42</v>
      </c>
      <c r="O13" s="75" t="s">
        <v>43</v>
      </c>
      <c r="P13" s="75" t="s">
        <v>44</v>
      </c>
      <c r="Q13" s="75" t="s">
        <v>45</v>
      </c>
      <c r="R13" s="75" t="s">
        <v>47</v>
      </c>
      <c r="S13" s="75" t="s">
        <v>48</v>
      </c>
      <c r="T13" s="75" t="s">
        <v>46</v>
      </c>
      <c r="U13" s="75" t="s">
        <v>49</v>
      </c>
      <c r="V13" s="75" t="s">
        <v>586</v>
      </c>
      <c r="W13" s="216" t="s">
        <v>417</v>
      </c>
      <c r="X13" s="413"/>
      <c r="Y13" s="413"/>
      <c r="Z13" s="413"/>
      <c r="AA13" s="336"/>
    </row>
    <row r="14" spans="1:27" ht="12.75">
      <c r="A14" s="76" t="s">
        <v>50</v>
      </c>
      <c r="B14" s="326" t="s">
        <v>543</v>
      </c>
      <c r="C14" s="77"/>
      <c r="D14" s="217"/>
      <c r="E14" s="79"/>
      <c r="F14" s="80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332"/>
      <c r="S14" s="332"/>
      <c r="T14" s="78"/>
      <c r="U14" s="79"/>
      <c r="V14" s="79"/>
      <c r="W14" s="78"/>
      <c r="X14" s="78"/>
      <c r="Y14" s="79"/>
      <c r="Z14" s="79"/>
      <c r="AA14" s="336"/>
    </row>
    <row r="15" spans="1:27" ht="12.75">
      <c r="A15" s="76" t="s">
        <v>51</v>
      </c>
      <c r="B15" s="326" t="s">
        <v>544</v>
      </c>
      <c r="C15" s="77"/>
      <c r="D15" s="217"/>
      <c r="E15" s="79"/>
      <c r="F15" s="80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332"/>
      <c r="S15" s="332"/>
      <c r="T15" s="78"/>
      <c r="U15" s="79"/>
      <c r="V15" s="79"/>
      <c r="W15" s="78"/>
      <c r="X15" s="78"/>
      <c r="Y15" s="79"/>
      <c r="Z15" s="79"/>
      <c r="AA15" s="336"/>
    </row>
    <row r="16" spans="1:27" ht="12.75">
      <c r="A16" s="76" t="s">
        <v>52</v>
      </c>
      <c r="B16" s="218" t="s">
        <v>448</v>
      </c>
      <c r="C16" s="77"/>
      <c r="D16" s="217"/>
      <c r="E16" s="79"/>
      <c r="F16" s="80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332"/>
      <c r="S16" s="332"/>
      <c r="T16" s="78"/>
      <c r="U16" s="79"/>
      <c r="V16" s="79"/>
      <c r="W16" s="78"/>
      <c r="X16" s="78"/>
      <c r="Y16" s="79"/>
      <c r="Z16" s="79"/>
      <c r="AA16" s="336"/>
    </row>
    <row r="17" spans="1:27" ht="12.75">
      <c r="A17" s="76"/>
      <c r="B17" s="218"/>
      <c r="C17" s="77"/>
      <c r="D17" s="217"/>
      <c r="E17" s="79"/>
      <c r="F17" s="80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332"/>
      <c r="S17" s="332"/>
      <c r="T17" s="78"/>
      <c r="U17" s="79"/>
      <c r="V17" s="79"/>
      <c r="W17" s="78"/>
      <c r="X17" s="78"/>
      <c r="Y17" s="79"/>
      <c r="Z17" s="79"/>
      <c r="AA17" s="336"/>
    </row>
    <row r="18" spans="1:27" ht="12.75">
      <c r="A18" s="76" t="s">
        <v>53</v>
      </c>
      <c r="B18" s="218" t="s">
        <v>560</v>
      </c>
      <c r="C18" s="81"/>
      <c r="D18" s="217"/>
      <c r="E18" s="79"/>
      <c r="F18" s="80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332"/>
      <c r="S18" s="332"/>
      <c r="T18" s="78"/>
      <c r="U18" s="79"/>
      <c r="V18" s="79"/>
      <c r="W18" s="78"/>
      <c r="X18" s="78"/>
      <c r="Y18" s="79"/>
      <c r="Z18" s="79"/>
      <c r="AA18" s="337"/>
    </row>
    <row r="19" spans="1:27" ht="12.75">
      <c r="A19" s="76" t="s">
        <v>54</v>
      </c>
      <c r="B19" s="219" t="s">
        <v>546</v>
      </c>
      <c r="C19" s="81"/>
      <c r="D19" s="217"/>
      <c r="E19" s="79"/>
      <c r="F19" s="80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332"/>
      <c r="S19" s="332"/>
      <c r="T19" s="78"/>
      <c r="U19" s="79"/>
      <c r="V19" s="79"/>
      <c r="W19" s="78"/>
      <c r="X19" s="78"/>
      <c r="Y19" s="79"/>
      <c r="Z19" s="79"/>
      <c r="AA19" s="337"/>
    </row>
    <row r="20" spans="1:27" ht="12.75">
      <c r="A20" s="76" t="s">
        <v>55</v>
      </c>
      <c r="B20" s="218" t="s">
        <v>432</v>
      </c>
      <c r="C20" s="77"/>
      <c r="D20" s="217"/>
      <c r="E20" s="79"/>
      <c r="F20" s="80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332"/>
      <c r="S20" s="332"/>
      <c r="T20" s="78"/>
      <c r="U20" s="79"/>
      <c r="V20" s="79"/>
      <c r="W20" s="78"/>
      <c r="X20" s="78"/>
      <c r="Y20" s="79"/>
      <c r="Z20" s="79"/>
      <c r="AA20" s="336"/>
    </row>
    <row r="21" spans="1:27" ht="12.75">
      <c r="A21" s="76" t="s">
        <v>56</v>
      </c>
      <c r="B21" s="218" t="s">
        <v>433</v>
      </c>
      <c r="C21" s="77"/>
      <c r="D21" s="217"/>
      <c r="E21" s="79"/>
      <c r="F21" s="80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332"/>
      <c r="S21" s="332"/>
      <c r="T21" s="78"/>
      <c r="U21" s="79"/>
      <c r="V21" s="79"/>
      <c r="W21" s="78"/>
      <c r="X21" s="78"/>
      <c r="Y21" s="79"/>
      <c r="Z21" s="79"/>
      <c r="AA21" s="336"/>
    </row>
    <row r="22" spans="1:27" ht="12.75">
      <c r="A22" s="76" t="s">
        <v>57</v>
      </c>
      <c r="B22" s="218" t="s">
        <v>434</v>
      </c>
      <c r="C22" s="77"/>
      <c r="D22" s="217"/>
      <c r="E22" s="79"/>
      <c r="F22" s="80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332"/>
      <c r="S22" s="332"/>
      <c r="T22" s="78"/>
      <c r="U22" s="79"/>
      <c r="V22" s="79"/>
      <c r="W22" s="78"/>
      <c r="X22" s="78"/>
      <c r="Y22" s="79"/>
      <c r="Z22" s="79"/>
      <c r="AA22" s="336"/>
    </row>
    <row r="23" spans="1:27" ht="12.75">
      <c r="A23" s="76" t="s">
        <v>58</v>
      </c>
      <c r="B23" s="218" t="s">
        <v>441</v>
      </c>
      <c r="C23" s="81"/>
      <c r="D23" s="217"/>
      <c r="E23" s="79"/>
      <c r="F23" s="80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332"/>
      <c r="S23" s="332"/>
      <c r="T23" s="78"/>
      <c r="U23" s="79"/>
      <c r="V23" s="79"/>
      <c r="W23" s="78"/>
      <c r="X23" s="78"/>
      <c r="Y23" s="79"/>
      <c r="Z23" s="79"/>
      <c r="AA23" s="337"/>
    </row>
    <row r="24" spans="1:27" ht="12.75">
      <c r="A24" s="76" t="s">
        <v>59</v>
      </c>
      <c r="B24" s="219" t="s">
        <v>442</v>
      </c>
      <c r="C24" s="81"/>
      <c r="D24" s="217"/>
      <c r="E24" s="79"/>
      <c r="F24" s="80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332"/>
      <c r="S24" s="332"/>
      <c r="T24" s="78"/>
      <c r="U24" s="79"/>
      <c r="V24" s="79"/>
      <c r="W24" s="78"/>
      <c r="X24" s="78"/>
      <c r="Y24" s="79"/>
      <c r="Z24" s="79"/>
      <c r="AA24" s="337"/>
    </row>
    <row r="25" spans="1:27" ht="12.75">
      <c r="A25" s="76" t="s">
        <v>60</v>
      </c>
      <c r="B25" s="219" t="s">
        <v>443</v>
      </c>
      <c r="C25" s="81"/>
      <c r="D25" s="217"/>
      <c r="E25" s="79"/>
      <c r="F25" s="80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332"/>
      <c r="S25" s="332"/>
      <c r="T25" s="78"/>
      <c r="U25" s="79"/>
      <c r="V25" s="79"/>
      <c r="W25" s="78"/>
      <c r="X25" s="78"/>
      <c r="Y25" s="79"/>
      <c r="Z25" s="79"/>
      <c r="AA25" s="337"/>
    </row>
    <row r="26" spans="1:27" ht="12.75">
      <c r="A26" s="76" t="s">
        <v>61</v>
      </c>
      <c r="B26" s="219" t="s">
        <v>588</v>
      </c>
      <c r="C26" s="81"/>
      <c r="D26" s="217"/>
      <c r="E26" s="79"/>
      <c r="F26" s="80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332"/>
      <c r="S26" s="332"/>
      <c r="T26" s="78"/>
      <c r="U26" s="79"/>
      <c r="V26" s="79"/>
      <c r="W26" s="78"/>
      <c r="X26" s="78"/>
      <c r="Y26" s="79"/>
      <c r="Z26" s="79"/>
      <c r="AA26" s="337"/>
    </row>
    <row r="27" spans="1:27" ht="12.75">
      <c r="A27" s="76" t="s">
        <v>62</v>
      </c>
      <c r="B27" s="219" t="s">
        <v>437</v>
      </c>
      <c r="C27" s="81"/>
      <c r="D27" s="217"/>
      <c r="E27" s="79"/>
      <c r="F27" s="80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332"/>
      <c r="S27" s="332"/>
      <c r="T27" s="78"/>
      <c r="U27" s="79"/>
      <c r="V27" s="79"/>
      <c r="W27" s="78"/>
      <c r="X27" s="78"/>
      <c r="Y27" s="79"/>
      <c r="Z27" s="79"/>
      <c r="AA27" s="337"/>
    </row>
    <row r="28" spans="1:27" ht="12.75">
      <c r="A28" s="76" t="s">
        <v>63</v>
      </c>
      <c r="B28" s="219" t="s">
        <v>444</v>
      </c>
      <c r="C28" s="81"/>
      <c r="D28" s="217"/>
      <c r="E28" s="79"/>
      <c r="F28" s="80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332"/>
      <c r="S28" s="332"/>
      <c r="T28" s="78"/>
      <c r="U28" s="79"/>
      <c r="V28" s="79"/>
      <c r="W28" s="78"/>
      <c r="X28" s="78"/>
      <c r="Y28" s="79"/>
      <c r="Z28" s="79"/>
      <c r="AA28" s="337"/>
    </row>
    <row r="29" spans="1:27" ht="12.75">
      <c r="A29" s="220"/>
      <c r="B29" s="221" t="s">
        <v>65</v>
      </c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336"/>
    </row>
    <row r="30" spans="1:27" ht="15" customHeight="1">
      <c r="A30" s="440"/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2"/>
      <c r="Y30" s="309"/>
      <c r="Z30" s="309">
        <v>0</v>
      </c>
      <c r="AA30" s="336"/>
    </row>
    <row r="31" spans="1:27" s="342" customFormat="1" ht="15" customHeight="1">
      <c r="A31" s="443" t="s">
        <v>717</v>
      </c>
      <c r="B31" s="444"/>
      <c r="C31" s="444"/>
      <c r="D31" s="444"/>
      <c r="E31" s="444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9"/>
      <c r="Z31" s="340"/>
      <c r="AA31" s="341"/>
    </row>
    <row r="32" spans="1:27" s="342" customFormat="1" ht="15" customHeight="1">
      <c r="A32" s="443" t="s">
        <v>585</v>
      </c>
      <c r="B32" s="444"/>
      <c r="C32" s="398"/>
      <c r="D32" s="343"/>
      <c r="E32" s="344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9"/>
      <c r="Z32" s="340"/>
      <c r="AA32" s="341"/>
    </row>
    <row r="33" spans="1:27" s="342" customFormat="1" ht="15" customHeight="1">
      <c r="A33" s="432" t="s">
        <v>587</v>
      </c>
      <c r="B33" s="433"/>
      <c r="C33" s="398"/>
      <c r="D33" s="345"/>
      <c r="E33" s="344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7"/>
      <c r="X33" s="348"/>
      <c r="Y33" s="339"/>
      <c r="Z33" s="340"/>
      <c r="AA33" s="341"/>
    </row>
    <row r="34" spans="1:27" s="342" customFormat="1" ht="13.5">
      <c r="A34" s="439" t="s">
        <v>719</v>
      </c>
      <c r="B34" s="439"/>
      <c r="C34" s="439"/>
      <c r="D34" s="397"/>
      <c r="E34" s="392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4"/>
      <c r="X34" s="395"/>
      <c r="Y34" s="396"/>
      <c r="Z34" s="340"/>
      <c r="AA34" s="341"/>
    </row>
    <row r="35" spans="1:26" ht="15" customHeight="1">
      <c r="A35" s="434" t="s">
        <v>67</v>
      </c>
      <c r="B35" s="435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310"/>
      <c r="Z35" s="310"/>
    </row>
    <row r="36" spans="1:27" ht="12.75">
      <c r="A36" s="336"/>
      <c r="B36" s="336"/>
      <c r="C36" s="336"/>
      <c r="D36" s="336"/>
      <c r="E36" s="336"/>
      <c r="F36" s="349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</row>
    <row r="37" spans="1:27" ht="12.75">
      <c r="A37" s="336"/>
      <c r="B37" s="336"/>
      <c r="C37" s="336"/>
      <c r="D37" s="336"/>
      <c r="E37" s="350"/>
      <c r="F37" s="349"/>
      <c r="G37" s="350"/>
      <c r="H37" s="350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</row>
    <row r="38" spans="1:27" ht="59.25" customHeight="1">
      <c r="A38" s="436" t="s">
        <v>690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336"/>
      <c r="X38" s="336"/>
      <c r="Y38" s="336"/>
      <c r="Z38" s="336"/>
      <c r="AA38" s="336"/>
    </row>
    <row r="39" spans="1:27" ht="12.75">
      <c r="A39" s="336"/>
      <c r="B39" s="336"/>
      <c r="C39" s="336"/>
      <c r="D39" s="336"/>
      <c r="E39" s="336"/>
      <c r="F39" s="349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</row>
    <row r="40" spans="1:27" ht="12.75">
      <c r="A40" s="336"/>
      <c r="B40" s="336"/>
      <c r="C40" s="336"/>
      <c r="D40" s="336"/>
      <c r="E40" s="336"/>
      <c r="F40" s="349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</row>
    <row r="41" spans="1:27" ht="12.75">
      <c r="A41" s="336"/>
      <c r="B41" s="336"/>
      <c r="C41" s="336"/>
      <c r="D41" s="336"/>
      <c r="E41" s="336"/>
      <c r="F41" s="349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</row>
    <row r="42" spans="1:27" ht="12.75">
      <c r="A42" s="336"/>
      <c r="B42" s="336"/>
      <c r="C42" s="336"/>
      <c r="D42" s="336"/>
      <c r="E42" s="336"/>
      <c r="F42" s="349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</row>
    <row r="43" spans="1:27" ht="12.75">
      <c r="A43" s="336"/>
      <c r="B43" s="336"/>
      <c r="C43" s="336"/>
      <c r="D43" s="336"/>
      <c r="E43" s="336"/>
      <c r="F43" s="349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</row>
    <row r="44" spans="1:27" ht="12.75">
      <c r="A44" s="336"/>
      <c r="B44" s="336"/>
      <c r="C44" s="336"/>
      <c r="D44" s="336"/>
      <c r="E44" s="336"/>
      <c r="F44" s="349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</row>
    <row r="45" spans="1:27" ht="12.75">
      <c r="A45" s="336"/>
      <c r="B45" s="336"/>
      <c r="C45" s="336"/>
      <c r="D45" s="336"/>
      <c r="E45" s="336"/>
      <c r="F45" s="349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</row>
    <row r="46" spans="1:27" ht="12.75">
      <c r="A46" s="336"/>
      <c r="B46" s="336"/>
      <c r="C46" s="336"/>
      <c r="D46" s="336"/>
      <c r="E46" s="336"/>
      <c r="F46" s="349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</row>
    <row r="47" spans="1:27" ht="12.75">
      <c r="A47" s="336"/>
      <c r="B47" s="336"/>
      <c r="C47" s="336"/>
      <c r="D47" s="336"/>
      <c r="E47" s="336"/>
      <c r="F47" s="349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</row>
    <row r="48" spans="1:27" ht="12.75">
      <c r="A48" s="336"/>
      <c r="B48" s="336"/>
      <c r="C48" s="336"/>
      <c r="D48" s="336"/>
      <c r="E48" s="336"/>
      <c r="F48" s="349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</row>
    <row r="49" spans="1:27" ht="12.75">
      <c r="A49" s="336"/>
      <c r="B49" s="336"/>
      <c r="C49" s="336"/>
      <c r="D49" s="336"/>
      <c r="E49" s="336"/>
      <c r="F49" s="349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</row>
    <row r="50" spans="1:27" ht="12.75">
      <c r="A50" s="336"/>
      <c r="B50" s="336"/>
      <c r="C50" s="336"/>
      <c r="D50" s="336"/>
      <c r="E50" s="336"/>
      <c r="F50" s="349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</row>
    <row r="51" spans="1:27" ht="12.75">
      <c r="A51" s="336"/>
      <c r="B51" s="336"/>
      <c r="C51" s="336"/>
      <c r="D51" s="336"/>
      <c r="E51" s="336"/>
      <c r="F51" s="349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</row>
    <row r="52" spans="1:27" ht="12.75">
      <c r="A52" s="336"/>
      <c r="B52" s="336"/>
      <c r="C52" s="336"/>
      <c r="D52" s="336"/>
      <c r="E52" s="336"/>
      <c r="F52" s="349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</row>
    <row r="53" spans="1:27" ht="12.75">
      <c r="A53" s="336"/>
      <c r="B53" s="336"/>
      <c r="C53" s="336"/>
      <c r="D53" s="336"/>
      <c r="E53" s="336"/>
      <c r="F53" s="349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</row>
    <row r="54" spans="1:27" ht="12.75">
      <c r="A54" s="336"/>
      <c r="B54" s="336"/>
      <c r="C54" s="336"/>
      <c r="D54" s="336"/>
      <c r="E54" s="336"/>
      <c r="F54" s="349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</row>
    <row r="55" spans="1:27" ht="12.75">
      <c r="A55" s="336"/>
      <c r="B55" s="336"/>
      <c r="C55" s="336"/>
      <c r="D55" s="336"/>
      <c r="E55" s="336"/>
      <c r="F55" s="349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</row>
    <row r="56" spans="1:27" ht="12.75">
      <c r="A56" s="336"/>
      <c r="B56" s="336"/>
      <c r="C56" s="336"/>
      <c r="D56" s="336"/>
      <c r="E56" s="336"/>
      <c r="F56" s="349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</row>
    <row r="57" spans="1:27" ht="12.75">
      <c r="A57" s="336"/>
      <c r="B57" s="336"/>
      <c r="C57" s="336"/>
      <c r="D57" s="336"/>
      <c r="E57" s="336"/>
      <c r="F57" s="349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</row>
    <row r="58" spans="1:27" ht="12.75">
      <c r="A58" s="336"/>
      <c r="B58" s="336"/>
      <c r="C58" s="336"/>
      <c r="D58" s="336"/>
      <c r="E58" s="336"/>
      <c r="F58" s="349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</row>
    <row r="59" spans="1:27" ht="12.75">
      <c r="A59" s="336"/>
      <c r="B59" s="336"/>
      <c r="C59" s="336"/>
      <c r="D59" s="336"/>
      <c r="E59" s="336"/>
      <c r="F59" s="349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</row>
    <row r="60" spans="1:27" ht="12.75">
      <c r="A60" s="336"/>
      <c r="B60" s="336"/>
      <c r="C60" s="336"/>
      <c r="D60" s="336"/>
      <c r="E60" s="336"/>
      <c r="F60" s="349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</row>
    <row r="61" spans="1:27" ht="12.75">
      <c r="A61" s="336"/>
      <c r="B61" s="336"/>
      <c r="C61" s="336"/>
      <c r="D61" s="336"/>
      <c r="E61" s="336"/>
      <c r="F61" s="349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</row>
    <row r="62" spans="1:27" ht="12.75">
      <c r="A62" s="336"/>
      <c r="B62" s="336"/>
      <c r="C62" s="336"/>
      <c r="D62" s="336"/>
      <c r="E62" s="336"/>
      <c r="F62" s="349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</row>
    <row r="63" spans="1:27" ht="12.75">
      <c r="A63" s="336"/>
      <c r="B63" s="336"/>
      <c r="C63" s="336"/>
      <c r="D63" s="336"/>
      <c r="E63" s="336"/>
      <c r="F63" s="349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</row>
    <row r="64" spans="1:27" ht="12.75">
      <c r="A64" s="336"/>
      <c r="B64" s="336"/>
      <c r="C64" s="336"/>
      <c r="D64" s="336"/>
      <c r="E64" s="336"/>
      <c r="F64" s="349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</row>
    <row r="65" spans="1:27" ht="12.75">
      <c r="A65" s="336"/>
      <c r="B65" s="336"/>
      <c r="C65" s="336"/>
      <c r="D65" s="336"/>
      <c r="E65" s="336"/>
      <c r="F65" s="349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</row>
    <row r="66" spans="1:27" ht="12.75">
      <c r="A66" s="336"/>
      <c r="B66" s="336"/>
      <c r="C66" s="336"/>
      <c r="D66" s="336"/>
      <c r="E66" s="336"/>
      <c r="F66" s="349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</row>
    <row r="67" spans="1:27" ht="12.75">
      <c r="A67" s="336"/>
      <c r="B67" s="336"/>
      <c r="C67" s="336"/>
      <c r="D67" s="336"/>
      <c r="E67" s="336"/>
      <c r="F67" s="349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</row>
  </sheetData>
  <sheetProtection/>
  <mergeCells count="20">
    <mergeCell ref="A34:C34"/>
    <mergeCell ref="X12:X13"/>
    <mergeCell ref="Y12:Y13"/>
    <mergeCell ref="Z12:Z13"/>
    <mergeCell ref="A30:X30"/>
    <mergeCell ref="A31:E31"/>
    <mergeCell ref="A32:B32"/>
    <mergeCell ref="F12:F13"/>
    <mergeCell ref="G12:N12"/>
    <mergeCell ref="T12:W12"/>
    <mergeCell ref="A33:B33"/>
    <mergeCell ref="A35:X35"/>
    <mergeCell ref="A38:V38"/>
    <mergeCell ref="A9:Z9"/>
    <mergeCell ref="Y10:Z10"/>
    <mergeCell ref="A12:A13"/>
    <mergeCell ref="B12:B13"/>
    <mergeCell ref="C12:C13"/>
    <mergeCell ref="D12:D13"/>
    <mergeCell ref="E12:E13"/>
  </mergeCells>
  <printOptions/>
  <pageMargins left="0.4724409448818898" right="0" top="0.6" bottom="0.5905511811023623" header="0.1968503937007874" footer="0.5118110236220472"/>
  <pageSetup horizontalDpi="600" verticalDpi="600" orientation="landscape" paperSize="9" scale="65" r:id="rId2"/>
  <ignoredErrors>
    <ignoredError sqref="A14:A16 A18:A2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Q41"/>
  <sheetViews>
    <sheetView zoomScale="160" zoomScaleNormal="160" zoomScalePageLayoutView="0" workbookViewId="0" topLeftCell="A7">
      <selection activeCell="A7" sqref="A7:O7"/>
    </sheetView>
  </sheetViews>
  <sheetFormatPr defaultColWidth="9.140625" defaultRowHeight="15"/>
  <cols>
    <col min="2" max="2" width="29.421875" style="0" customWidth="1"/>
    <col min="3" max="3" width="3.140625" style="0" bestFit="1" customWidth="1"/>
    <col min="4" max="7" width="11.421875" style="0" hidden="1" customWidth="1"/>
    <col min="8" max="10" width="9.421875" style="0" bestFit="1" customWidth="1"/>
    <col min="11" max="11" width="11.140625" style="0" bestFit="1" customWidth="1"/>
    <col min="12" max="13" width="9.421875" style="0" bestFit="1" customWidth="1"/>
    <col min="14" max="14" width="1.57421875" style="0" customWidth="1"/>
    <col min="15" max="15" width="10.421875" style="0" bestFit="1" customWidth="1"/>
    <col min="16" max="16" width="43.57421875" style="0" hidden="1" customWidth="1"/>
  </cols>
  <sheetData>
    <row r="7" spans="1:15" ht="15.75" customHeight="1">
      <c r="A7" s="448" t="s">
        <v>709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</row>
    <row r="8" spans="1:15" ht="47.25">
      <c r="A8" s="353"/>
      <c r="B8" s="354" t="s">
        <v>68</v>
      </c>
      <c r="C8" s="354"/>
      <c r="D8" s="355" t="s">
        <v>710</v>
      </c>
      <c r="E8" s="356" t="s">
        <v>711</v>
      </c>
      <c r="F8" s="357" t="s">
        <v>712</v>
      </c>
      <c r="G8" s="358" t="s">
        <v>682</v>
      </c>
      <c r="H8" s="359" t="s">
        <v>713</v>
      </c>
      <c r="I8" s="359" t="s">
        <v>714</v>
      </c>
      <c r="J8" s="359" t="s">
        <v>715</v>
      </c>
      <c r="K8" s="360" t="s">
        <v>716</v>
      </c>
      <c r="L8" s="361" t="s">
        <v>702</v>
      </c>
      <c r="M8" s="361" t="s">
        <v>701</v>
      </c>
      <c r="N8" s="362"/>
      <c r="O8" s="363" t="s">
        <v>698</v>
      </c>
    </row>
    <row r="9" spans="1:15" ht="15">
      <c r="A9" s="364" t="s">
        <v>50</v>
      </c>
      <c r="B9" s="365" t="s">
        <v>683</v>
      </c>
      <c r="C9" s="366">
        <v>1</v>
      </c>
      <c r="D9" s="367">
        <v>3950.36</v>
      </c>
      <c r="E9" s="368">
        <v>3644.07</v>
      </c>
      <c r="F9" s="369">
        <v>7598.928</v>
      </c>
      <c r="G9" s="370">
        <v>5064.452666666667</v>
      </c>
      <c r="H9" s="371">
        <v>3126.57</v>
      </c>
      <c r="I9" s="372">
        <v>4187.85</v>
      </c>
      <c r="J9" s="373">
        <v>2926</v>
      </c>
      <c r="K9" s="372">
        <v>3619.48</v>
      </c>
      <c r="L9" s="372">
        <f>(H9+I9+J9+K9)/4</f>
        <v>3464.975</v>
      </c>
      <c r="M9" s="374">
        <f>MIN(H9:K9)</f>
        <v>2926</v>
      </c>
      <c r="N9" s="362"/>
      <c r="O9" s="375">
        <f>3000</f>
        <v>3000</v>
      </c>
    </row>
    <row r="10" spans="1:15" ht="15">
      <c r="A10" s="364" t="s">
        <v>51</v>
      </c>
      <c r="B10" s="365" t="s">
        <v>544</v>
      </c>
      <c r="C10" s="366">
        <v>1</v>
      </c>
      <c r="D10" s="367"/>
      <c r="E10" s="368"/>
      <c r="F10" s="369"/>
      <c r="G10" s="370"/>
      <c r="H10" s="371">
        <v>1312.42</v>
      </c>
      <c r="I10" s="373">
        <v>1459.06</v>
      </c>
      <c r="J10" s="372">
        <v>2050</v>
      </c>
      <c r="K10" s="372">
        <v>2295.05</v>
      </c>
      <c r="L10" s="372">
        <f>(H10+I10+J10+K10)/4</f>
        <v>1779.1325</v>
      </c>
      <c r="M10" s="374">
        <f>MIN(H10:K10)</f>
        <v>1312.42</v>
      </c>
      <c r="N10" s="362"/>
      <c r="O10" s="375">
        <v>1500</v>
      </c>
    </row>
    <row r="11" spans="1:15" ht="15">
      <c r="A11" s="364" t="s">
        <v>52</v>
      </c>
      <c r="B11" s="365" t="s">
        <v>448</v>
      </c>
      <c r="C11" s="366">
        <v>1</v>
      </c>
      <c r="D11" s="367"/>
      <c r="E11" s="368"/>
      <c r="F11" s="369"/>
      <c r="G11" s="370"/>
      <c r="H11" s="373">
        <v>1621.93</v>
      </c>
      <c r="I11" s="376">
        <v>0</v>
      </c>
      <c r="J11" s="376">
        <v>0</v>
      </c>
      <c r="K11" s="372">
        <v>1719.76</v>
      </c>
      <c r="L11" s="372">
        <f>(H11+I11+J11+K11)/2</f>
        <v>1670.845</v>
      </c>
      <c r="M11" s="374">
        <f>MIN(H11,K11)</f>
        <v>1621.93</v>
      </c>
      <c r="N11" s="362"/>
      <c r="O11" s="375">
        <v>1600</v>
      </c>
    </row>
    <row r="12" spans="1:16" ht="15">
      <c r="A12" s="364" t="s">
        <v>53</v>
      </c>
      <c r="B12" s="365" t="s">
        <v>689</v>
      </c>
      <c r="C12" s="366">
        <v>3</v>
      </c>
      <c r="D12" s="367">
        <v>2723.43</v>
      </c>
      <c r="E12" s="368">
        <v>2181.07</v>
      </c>
      <c r="F12" s="369">
        <v>4258.0199999999995</v>
      </c>
      <c r="G12" s="370">
        <v>3054.1733333333336</v>
      </c>
      <c r="H12" s="371">
        <v>937</v>
      </c>
      <c r="I12" s="372">
        <v>2151.39</v>
      </c>
      <c r="J12" s="372">
        <v>2229.23</v>
      </c>
      <c r="K12" s="372">
        <v>1909.19</v>
      </c>
      <c r="L12" s="372">
        <f>(H12+I12+J12+K12)/4</f>
        <v>1806.7024999999999</v>
      </c>
      <c r="M12" s="374">
        <f>MIN(H12:K12)</f>
        <v>937</v>
      </c>
      <c r="N12" s="362"/>
      <c r="O12" s="375">
        <v>1760</v>
      </c>
      <c r="P12" t="s">
        <v>704</v>
      </c>
    </row>
    <row r="13" spans="1:15" ht="15">
      <c r="A13" s="364" t="s">
        <v>54</v>
      </c>
      <c r="B13" s="377" t="s">
        <v>546</v>
      </c>
      <c r="C13" s="378">
        <v>3</v>
      </c>
      <c r="D13" s="367">
        <v>2723.43</v>
      </c>
      <c r="E13" s="368">
        <v>2181.07</v>
      </c>
      <c r="F13" s="369">
        <v>1378</v>
      </c>
      <c r="G13" s="370">
        <v>2094.1666666666665</v>
      </c>
      <c r="H13" s="371">
        <v>1399.05</v>
      </c>
      <c r="I13" s="372">
        <v>0</v>
      </c>
      <c r="J13" s="373">
        <v>1100</v>
      </c>
      <c r="K13" s="372">
        <v>933.4</v>
      </c>
      <c r="L13" s="372">
        <f>(H13+I13+J13+K13)/3</f>
        <v>1144.15</v>
      </c>
      <c r="M13" s="374">
        <f>MIN(H13,J13,K13)</f>
        <v>933.4</v>
      </c>
      <c r="N13" s="362"/>
      <c r="O13" s="375">
        <v>1100</v>
      </c>
    </row>
    <row r="14" spans="1:16" ht="15">
      <c r="A14" s="364" t="s">
        <v>55</v>
      </c>
      <c r="B14" s="379" t="s">
        <v>433</v>
      </c>
      <c r="C14" s="366">
        <v>3</v>
      </c>
      <c r="D14" s="367">
        <v>2900.96</v>
      </c>
      <c r="E14" s="368">
        <v>1836</v>
      </c>
      <c r="F14" s="369">
        <v>2400.94</v>
      </c>
      <c r="G14" s="370">
        <v>2379.2999999999997</v>
      </c>
      <c r="H14" s="373">
        <v>1190.4</v>
      </c>
      <c r="I14" s="372">
        <v>1312.42</v>
      </c>
      <c r="J14" s="372">
        <v>0</v>
      </c>
      <c r="K14" s="372">
        <v>1662.33</v>
      </c>
      <c r="L14" s="372">
        <f>(H14+I14+J14+K14)/3</f>
        <v>1388.3833333333332</v>
      </c>
      <c r="M14" s="374">
        <f>MIN(H14,I14,K14)</f>
        <v>1190.4</v>
      </c>
      <c r="N14" s="362"/>
      <c r="O14" s="375">
        <v>1090.91</v>
      </c>
      <c r="P14" t="s">
        <v>705</v>
      </c>
    </row>
    <row r="15" spans="1:15" ht="15">
      <c r="A15" s="364" t="s">
        <v>56</v>
      </c>
      <c r="B15" s="379" t="s">
        <v>432</v>
      </c>
      <c r="C15" s="366">
        <v>3</v>
      </c>
      <c r="D15" s="367">
        <v>2900.96</v>
      </c>
      <c r="E15" s="368">
        <v>1836</v>
      </c>
      <c r="F15" s="369">
        <v>2400.94</v>
      </c>
      <c r="G15" s="370">
        <v>2379.2999999999997</v>
      </c>
      <c r="H15" s="371">
        <f>(1190.4/150)*220</f>
        <v>1745.92</v>
      </c>
      <c r="I15" s="373">
        <v>1675.01</v>
      </c>
      <c r="J15" s="372">
        <v>0</v>
      </c>
      <c r="K15" s="372">
        <v>1743.32</v>
      </c>
      <c r="L15" s="372">
        <f>(H15+I15+J15+K15)/3</f>
        <v>1721.4166666666667</v>
      </c>
      <c r="M15" s="374">
        <f>MIN(H15,I15,K15)</f>
        <v>1675.01</v>
      </c>
      <c r="N15" s="362"/>
      <c r="O15" s="375">
        <v>1600</v>
      </c>
    </row>
    <row r="16" spans="1:15" ht="15">
      <c r="A16" s="364" t="s">
        <v>57</v>
      </c>
      <c r="B16" s="379" t="s">
        <v>434</v>
      </c>
      <c r="C16" s="366">
        <v>3</v>
      </c>
      <c r="D16" s="367">
        <v>2900.96</v>
      </c>
      <c r="E16" s="368">
        <v>1836</v>
      </c>
      <c r="F16" s="369">
        <v>2400.94</v>
      </c>
      <c r="G16" s="370">
        <v>2379.2999999999997</v>
      </c>
      <c r="H16" s="371">
        <f>(1190.4/150)*220</f>
        <v>1745.92</v>
      </c>
      <c r="I16" s="373">
        <v>1675.01</v>
      </c>
      <c r="J16" s="372">
        <v>0</v>
      </c>
      <c r="K16" s="372">
        <v>1742.16</v>
      </c>
      <c r="L16" s="372">
        <f>(H16+I16+J16+K16)/3</f>
        <v>1721.03</v>
      </c>
      <c r="M16" s="374">
        <f>MIN(H16,I16,K16)</f>
        <v>1675.01</v>
      </c>
      <c r="N16" s="362"/>
      <c r="O16" s="375">
        <v>1600</v>
      </c>
    </row>
    <row r="17" spans="1:17" ht="15">
      <c r="A17" s="364" t="s">
        <v>58</v>
      </c>
      <c r="B17" s="379" t="s">
        <v>441</v>
      </c>
      <c r="C17" s="366">
        <v>3</v>
      </c>
      <c r="D17" s="380">
        <v>2175.7200000000003</v>
      </c>
      <c r="E17" s="368">
        <v>1377</v>
      </c>
      <c r="F17" s="369">
        <v>1800.705</v>
      </c>
      <c r="G17" s="370">
        <v>1784.4750000000001</v>
      </c>
      <c r="H17" s="373">
        <v>749.6</v>
      </c>
      <c r="I17" s="372">
        <v>0</v>
      </c>
      <c r="J17" s="372">
        <v>896.92</v>
      </c>
      <c r="K17" s="372">
        <v>900.24</v>
      </c>
      <c r="L17" s="372">
        <f>(H17+I17+J17+K17)/3</f>
        <v>848.9200000000001</v>
      </c>
      <c r="M17" s="374">
        <f>MIN(H17,J17,K17)</f>
        <v>749.6</v>
      </c>
      <c r="N17" s="362"/>
      <c r="O17" s="375">
        <v>750</v>
      </c>
      <c r="Q17" s="335"/>
    </row>
    <row r="18" spans="1:15" ht="15">
      <c r="A18" s="364" t="s">
        <v>59</v>
      </c>
      <c r="B18" s="377" t="s">
        <v>443</v>
      </c>
      <c r="C18" s="378">
        <v>24</v>
      </c>
      <c r="D18" s="380">
        <v>1761.0266666666669</v>
      </c>
      <c r="E18" s="368">
        <v>1309.96</v>
      </c>
      <c r="F18" s="369">
        <v>916.8</v>
      </c>
      <c r="G18" s="370">
        <v>1329.2622222222224</v>
      </c>
      <c r="H18" s="372">
        <f>937</f>
        <v>937</v>
      </c>
      <c r="I18" s="372">
        <v>0</v>
      </c>
      <c r="J18" s="372">
        <v>0</v>
      </c>
      <c r="K18" s="372">
        <v>1675.82</v>
      </c>
      <c r="L18" s="373">
        <f>(H18+I18+J18+K18)/2</f>
        <v>1306.4099999999999</v>
      </c>
      <c r="M18" s="374">
        <f>MIN(H18,K18)</f>
        <v>937</v>
      </c>
      <c r="N18" s="362"/>
      <c r="O18" s="375">
        <v>1300</v>
      </c>
    </row>
    <row r="19" spans="1:15" ht="15">
      <c r="A19" s="364" t="s">
        <v>60</v>
      </c>
      <c r="B19" s="377" t="s">
        <v>442</v>
      </c>
      <c r="C19" s="378">
        <v>24</v>
      </c>
      <c r="D19" s="380">
        <v>1761.0266666666669</v>
      </c>
      <c r="E19" s="368">
        <v>1309.96</v>
      </c>
      <c r="F19" s="369">
        <v>916.8</v>
      </c>
      <c r="G19" s="370">
        <v>1329.2622222222224</v>
      </c>
      <c r="H19" s="372">
        <f>937</f>
        <v>937</v>
      </c>
      <c r="I19" s="372">
        <v>0</v>
      </c>
      <c r="J19" s="372">
        <v>0</v>
      </c>
      <c r="K19" s="372">
        <v>1675.82</v>
      </c>
      <c r="L19" s="373">
        <f>(H19+I19+J19+K19)/2</f>
        <v>1306.4099999999999</v>
      </c>
      <c r="M19" s="374">
        <f>MIN(H19,K19)</f>
        <v>937</v>
      </c>
      <c r="N19" s="362"/>
      <c r="O19" s="375">
        <v>1300</v>
      </c>
    </row>
    <row r="20" spans="1:15" ht="15">
      <c r="A20" s="364" t="s">
        <v>61</v>
      </c>
      <c r="B20" s="377" t="s">
        <v>588</v>
      </c>
      <c r="C20" s="378">
        <v>24</v>
      </c>
      <c r="D20" s="380">
        <v>1761.0266666666669</v>
      </c>
      <c r="E20" s="368">
        <v>1309.96</v>
      </c>
      <c r="F20" s="369">
        <v>916.8</v>
      </c>
      <c r="G20" s="370">
        <v>1329.2622222222224</v>
      </c>
      <c r="H20" s="372">
        <v>937</v>
      </c>
      <c r="I20" s="372">
        <v>0</v>
      </c>
      <c r="J20" s="372">
        <v>0</v>
      </c>
      <c r="K20" s="372">
        <v>1675.82</v>
      </c>
      <c r="L20" s="373">
        <f>(H20+I20+J20+K20)/2</f>
        <v>1306.4099999999999</v>
      </c>
      <c r="M20" s="374">
        <f>MIN(H20,K20)</f>
        <v>937</v>
      </c>
      <c r="N20" s="362"/>
      <c r="O20" s="375">
        <v>1300</v>
      </c>
    </row>
    <row r="21" spans="1:15" ht="15">
      <c r="A21" s="364" t="s">
        <v>62</v>
      </c>
      <c r="B21" s="377" t="s">
        <v>437</v>
      </c>
      <c r="C21" s="378">
        <v>1</v>
      </c>
      <c r="D21" s="380">
        <v>1600.94</v>
      </c>
      <c r="E21" s="368">
        <v>1267.06</v>
      </c>
      <c r="F21" s="369">
        <v>816.41</v>
      </c>
      <c r="G21" s="370">
        <v>1228.1366666666665</v>
      </c>
      <c r="H21" s="372">
        <v>1071.4</v>
      </c>
      <c r="I21" s="372">
        <v>763.01</v>
      </c>
      <c r="J21" s="372">
        <v>0</v>
      </c>
      <c r="K21" s="372">
        <v>1255.52</v>
      </c>
      <c r="L21" s="373">
        <f>(H21+I21+J21+K21)/3</f>
        <v>1029.9766666666667</v>
      </c>
      <c r="M21" s="374">
        <f>MIN(H21,I21,K21)</f>
        <v>763.01</v>
      </c>
      <c r="N21" s="362"/>
      <c r="O21" s="375">
        <v>1030</v>
      </c>
    </row>
    <row r="22" spans="1:15" ht="15">
      <c r="A22" s="364" t="s">
        <v>63</v>
      </c>
      <c r="B22" s="377" t="s">
        <v>444</v>
      </c>
      <c r="C22" s="378">
        <v>3</v>
      </c>
      <c r="D22" s="380">
        <v>833.2</v>
      </c>
      <c r="E22" s="368">
        <v>825.13</v>
      </c>
      <c r="F22" s="369">
        <v>642.46</v>
      </c>
      <c r="G22" s="370">
        <v>766.93</v>
      </c>
      <c r="H22" s="372">
        <v>1144.54</v>
      </c>
      <c r="I22" s="372">
        <v>686.64</v>
      </c>
      <c r="J22" s="372">
        <v>1100</v>
      </c>
      <c r="K22" s="372">
        <v>1008.13</v>
      </c>
      <c r="L22" s="373">
        <f>(H22+I22+J22+K22)/4</f>
        <v>984.8275</v>
      </c>
      <c r="M22" s="374">
        <f>MIN(H22:K22)</f>
        <v>686.64</v>
      </c>
      <c r="N22" s="362"/>
      <c r="O22" s="375">
        <v>997.32</v>
      </c>
    </row>
    <row r="23" spans="1:15" ht="15" hidden="1">
      <c r="A23" s="364" t="s">
        <v>684</v>
      </c>
      <c r="B23" s="365" t="s">
        <v>685</v>
      </c>
      <c r="C23" s="366">
        <v>0</v>
      </c>
      <c r="D23" s="380">
        <v>833.2</v>
      </c>
      <c r="E23" s="368">
        <v>825.13</v>
      </c>
      <c r="F23" s="369">
        <v>688.05</v>
      </c>
      <c r="G23" s="370">
        <v>782.1266666666667</v>
      </c>
      <c r="H23" s="372"/>
      <c r="I23" s="372"/>
      <c r="J23" s="372"/>
      <c r="K23" s="372"/>
      <c r="L23" s="381"/>
      <c r="M23" s="382"/>
      <c r="N23" s="362"/>
      <c r="O23" s="383"/>
    </row>
    <row r="24" spans="1:15" ht="15">
      <c r="A24" s="452" t="s">
        <v>65</v>
      </c>
      <c r="B24" s="452"/>
      <c r="C24" s="384">
        <f>SUM(C9:C23)</f>
        <v>97</v>
      </c>
      <c r="D24" s="385">
        <v>46341.88</v>
      </c>
      <c r="E24" s="386">
        <v>35178.30999999999</v>
      </c>
      <c r="F24" s="387">
        <v>36717.503</v>
      </c>
      <c r="G24" s="388">
        <v>39412.564333333336</v>
      </c>
      <c r="H24" s="389">
        <f>SUM(H9:H23)</f>
        <v>18855.75</v>
      </c>
      <c r="I24" s="389">
        <f>SUM(I9:I23)</f>
        <v>13910.39</v>
      </c>
      <c r="J24" s="389">
        <f>SUM(J9:J23)</f>
        <v>10302.15</v>
      </c>
      <c r="K24" s="389">
        <f>SUM(K9:K23)</f>
        <v>23816.04</v>
      </c>
      <c r="L24" s="390">
        <f>SUM(L9:L23)</f>
        <v>21479.589166666665</v>
      </c>
      <c r="M24" s="390">
        <f>SUM(M9:M22)</f>
        <v>17281.42</v>
      </c>
      <c r="N24" s="362"/>
      <c r="O24" s="391">
        <f>SUM(O9:O23)</f>
        <v>19928.23</v>
      </c>
    </row>
    <row r="25" ht="15">
      <c r="O25" s="182"/>
    </row>
    <row r="26" ht="15">
      <c r="O26" s="182"/>
    </row>
    <row r="27" spans="1:2" ht="15.75" hidden="1" thickBot="1">
      <c r="A27" s="325"/>
      <c r="B27" s="324" t="s">
        <v>686</v>
      </c>
    </row>
    <row r="28" spans="1:2" ht="15.75" hidden="1" thickBot="1">
      <c r="A28" s="327"/>
      <c r="B28" s="324" t="s">
        <v>687</v>
      </c>
    </row>
    <row r="29" spans="1:2" ht="15.75" hidden="1" thickBot="1">
      <c r="A29" s="328"/>
      <c r="B29" s="324" t="s">
        <v>688</v>
      </c>
    </row>
    <row r="30" spans="1:13" ht="33" customHeight="1">
      <c r="A30" s="450" t="s">
        <v>692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330"/>
    </row>
    <row r="31" spans="1:13" ht="15">
      <c r="A31" s="447" t="s">
        <v>693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329"/>
    </row>
    <row r="32" spans="1:13" ht="15">
      <c r="A32" s="447" t="s">
        <v>694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329"/>
    </row>
    <row r="33" spans="1:13" ht="15">
      <c r="A33" s="447" t="s">
        <v>695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329"/>
    </row>
    <row r="34" spans="1:13" ht="15">
      <c r="A34" s="447" t="s">
        <v>703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</row>
    <row r="35" spans="1:8" ht="15" hidden="1">
      <c r="A35" s="453" t="s">
        <v>690</v>
      </c>
      <c r="B35" s="453"/>
      <c r="C35" s="453"/>
      <c r="D35" s="453"/>
      <c r="E35" s="453"/>
      <c r="F35" s="453"/>
      <c r="G35" s="453"/>
      <c r="H35" s="453"/>
    </row>
    <row r="36" spans="1:8" ht="38.25" customHeight="1" hidden="1">
      <c r="A36" s="454" t="s">
        <v>691</v>
      </c>
      <c r="B36" s="454"/>
      <c r="C36" s="454"/>
      <c r="D36" s="454"/>
      <c r="E36" s="454"/>
      <c r="F36" s="454"/>
      <c r="G36" s="454"/>
      <c r="H36" s="454"/>
    </row>
    <row r="37" ht="15" hidden="1"/>
    <row r="38" spans="1:13" ht="15">
      <c r="A38" s="446" t="s">
        <v>706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</row>
    <row r="39" spans="1:13" ht="15">
      <c r="A39" s="446" t="s">
        <v>707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</row>
    <row r="40" spans="1:8" ht="15" customHeight="1">
      <c r="A40" s="455"/>
      <c r="B40" s="455"/>
      <c r="C40" s="455"/>
      <c r="D40" s="455"/>
      <c r="E40" s="455"/>
      <c r="F40" s="455"/>
      <c r="G40" s="455"/>
      <c r="H40" s="455"/>
    </row>
    <row r="41" spans="1:13" ht="80.25" customHeight="1">
      <c r="A41" s="451" t="s">
        <v>696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331"/>
    </row>
  </sheetData>
  <sheetProtection/>
  <mergeCells count="13">
    <mergeCell ref="A41:L41"/>
    <mergeCell ref="A24:B24"/>
    <mergeCell ref="A35:H35"/>
    <mergeCell ref="A36:H36"/>
    <mergeCell ref="A40:H40"/>
    <mergeCell ref="A38:M38"/>
    <mergeCell ref="A34:M34"/>
    <mergeCell ref="A39:M39"/>
    <mergeCell ref="A7:O7"/>
    <mergeCell ref="A30:L30"/>
    <mergeCell ref="A31:L31"/>
    <mergeCell ref="A32:L32"/>
    <mergeCell ref="A33:L33"/>
  </mergeCells>
  <printOptions/>
  <pageMargins left="0.94" right="0.5118110236220472" top="1.0236220472440944" bottom="0.7874015748031497" header="0.31496062992125984" footer="0.31496062992125984"/>
  <pageSetup horizontalDpi="600" verticalDpi="600" orientation="landscape" paperSize="9" scale="75" r:id="rId2"/>
  <ignoredErrors>
    <ignoredError sqref="A23 A9:A18" numberStoredAsText="1"/>
    <ignoredError sqref="M9:M10" formulaRange="1"/>
    <ignoredError sqref="L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L31"/>
  <sheetViews>
    <sheetView zoomScale="75" zoomScaleNormal="75" zoomScalePageLayoutView="0" workbookViewId="0" topLeftCell="A7">
      <selection activeCell="C18" sqref="C18"/>
    </sheetView>
  </sheetViews>
  <sheetFormatPr defaultColWidth="11.57421875" defaultRowHeight="15"/>
  <cols>
    <col min="1" max="1" width="6.28125" style="0" customWidth="1"/>
    <col min="2" max="2" width="38.28125" style="0" bestFit="1" customWidth="1"/>
    <col min="3" max="3" width="16.28125" style="0" customWidth="1"/>
    <col min="4" max="4" width="16.7109375" style="0" bestFit="1" customWidth="1"/>
    <col min="5" max="6" width="15.00390625" style="0" hidden="1" customWidth="1"/>
    <col min="7" max="7" width="14.8515625" style="0" customWidth="1"/>
    <col min="8" max="8" width="14.57421875" style="0" bestFit="1" customWidth="1"/>
    <col min="9" max="10" width="11.57421875" style="0" customWidth="1"/>
    <col min="11" max="11" width="16.140625" style="0" bestFit="1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pans="1:7" ht="39" customHeight="1">
      <c r="A9" s="457" t="s">
        <v>451</v>
      </c>
      <c r="B9" s="458"/>
      <c r="C9" s="458"/>
      <c r="D9" s="458"/>
      <c r="E9" s="458"/>
      <c r="F9" s="458"/>
      <c r="G9" s="459"/>
    </row>
    <row r="10" spans="1:12" ht="15.75">
      <c r="A10" s="108"/>
      <c r="B10" s="116" t="s">
        <v>68</v>
      </c>
      <c r="C10" s="116" t="s">
        <v>431</v>
      </c>
      <c r="D10" s="128" t="s">
        <v>439</v>
      </c>
      <c r="E10" s="167" t="s">
        <v>445</v>
      </c>
      <c r="F10" s="165" t="s">
        <v>446</v>
      </c>
      <c r="G10" s="174" t="s">
        <v>452</v>
      </c>
      <c r="H10" s="177" t="s">
        <v>454</v>
      </c>
      <c r="K10" s="161"/>
      <c r="L10" s="161"/>
    </row>
    <row r="11" spans="1:12" ht="15.75">
      <c r="A11" s="117" t="s">
        <v>50</v>
      </c>
      <c r="B11" s="156" t="s">
        <v>447</v>
      </c>
      <c r="C11" s="157">
        <v>1</v>
      </c>
      <c r="D11" s="159">
        <v>6864.27</v>
      </c>
      <c r="E11" s="168">
        <v>4748.63</v>
      </c>
      <c r="F11" s="164">
        <v>6348.17</v>
      </c>
      <c r="G11" s="181">
        <f aca="true" t="shared" si="0" ref="G11:G24">(E11+F11)/2</f>
        <v>5548.4</v>
      </c>
      <c r="H11" s="180">
        <v>5548.4</v>
      </c>
      <c r="K11" s="162"/>
      <c r="L11" s="162"/>
    </row>
    <row r="12" spans="1:12" ht="15.75">
      <c r="A12" s="117" t="s">
        <v>51</v>
      </c>
      <c r="B12" s="156" t="s">
        <v>429</v>
      </c>
      <c r="C12" s="157">
        <v>1</v>
      </c>
      <c r="D12" s="159">
        <v>4468.34</v>
      </c>
      <c r="E12" s="168">
        <v>4130.8</v>
      </c>
      <c r="F12" s="164">
        <v>4542.36</v>
      </c>
      <c r="G12" s="181">
        <f t="shared" si="0"/>
        <v>4336.58</v>
      </c>
      <c r="H12" s="180">
        <v>3573.68</v>
      </c>
      <c r="K12" s="162"/>
      <c r="L12" s="162"/>
    </row>
    <row r="13" spans="1:12" ht="15.75">
      <c r="A13" s="117" t="s">
        <v>52</v>
      </c>
      <c r="B13" s="154" t="s">
        <v>430</v>
      </c>
      <c r="C13" s="152">
        <v>3</v>
      </c>
      <c r="D13" s="159">
        <v>3016.36</v>
      </c>
      <c r="E13" s="168">
        <v>4130.8</v>
      </c>
      <c r="F13" s="164">
        <v>4542.36</v>
      </c>
      <c r="G13" s="181">
        <f t="shared" si="0"/>
        <v>4336.58</v>
      </c>
      <c r="H13" s="180">
        <v>3573.68</v>
      </c>
      <c r="K13" s="162"/>
      <c r="L13" s="162"/>
    </row>
    <row r="14" spans="1:12" ht="15.75">
      <c r="A14" s="117" t="s">
        <v>53</v>
      </c>
      <c r="B14" s="154" t="s">
        <v>432</v>
      </c>
      <c r="C14" s="152">
        <v>3</v>
      </c>
      <c r="D14" s="158">
        <v>2243.62</v>
      </c>
      <c r="E14" s="168">
        <v>3512.64</v>
      </c>
      <c r="F14" s="164">
        <v>3044.12</v>
      </c>
      <c r="G14" s="181">
        <f t="shared" si="0"/>
        <v>3278.38</v>
      </c>
      <c r="H14" s="180">
        <v>2878.13</v>
      </c>
      <c r="K14" s="162"/>
      <c r="L14" s="162"/>
    </row>
    <row r="15" spans="1:12" ht="15.75">
      <c r="A15" s="117" t="s">
        <v>54</v>
      </c>
      <c r="B15" s="154" t="s">
        <v>433</v>
      </c>
      <c r="C15" s="152">
        <v>3</v>
      </c>
      <c r="D15" s="158">
        <f>(2243.62/220)*150</f>
        <v>1529.740909090909</v>
      </c>
      <c r="E15" s="168">
        <f>(3512.64/220)*150</f>
        <v>2394.981818181818</v>
      </c>
      <c r="F15" s="163">
        <f>(3044.12/220)*150</f>
        <v>2075.5363636363636</v>
      </c>
      <c r="G15" s="181">
        <f t="shared" si="0"/>
        <v>2235.259090909091</v>
      </c>
      <c r="H15" s="178">
        <f>(H14/220)*150</f>
        <v>1962.3613636363639</v>
      </c>
      <c r="K15" s="162"/>
      <c r="L15" s="162"/>
    </row>
    <row r="16" spans="1:12" ht="15.75">
      <c r="A16" s="117" t="s">
        <v>55</v>
      </c>
      <c r="B16" s="154" t="s">
        <v>434</v>
      </c>
      <c r="C16" s="152">
        <v>3</v>
      </c>
      <c r="D16" s="158">
        <v>2243.62</v>
      </c>
      <c r="E16" s="168">
        <v>3512.64</v>
      </c>
      <c r="F16" s="164">
        <v>3044.12</v>
      </c>
      <c r="G16" s="181">
        <f t="shared" si="0"/>
        <v>3278.38</v>
      </c>
      <c r="H16" s="180">
        <v>2878.13</v>
      </c>
      <c r="K16" s="162"/>
      <c r="L16" s="162"/>
    </row>
    <row r="17" spans="1:12" ht="15.75">
      <c r="A17" s="117" t="s">
        <v>56</v>
      </c>
      <c r="B17" s="154" t="s">
        <v>448</v>
      </c>
      <c r="C17" s="152">
        <v>1</v>
      </c>
      <c r="D17" s="158">
        <v>2243.62</v>
      </c>
      <c r="E17" s="168">
        <v>3512.64</v>
      </c>
      <c r="F17" s="164">
        <v>3044.12</v>
      </c>
      <c r="G17" s="181">
        <f t="shared" si="0"/>
        <v>3278.38</v>
      </c>
      <c r="H17" s="180">
        <v>2878.13</v>
      </c>
      <c r="K17" s="162"/>
      <c r="L17" s="162"/>
    </row>
    <row r="18" spans="1:12" ht="15.75">
      <c r="A18" s="117" t="s">
        <v>57</v>
      </c>
      <c r="B18" s="154" t="s">
        <v>441</v>
      </c>
      <c r="C18" s="152">
        <v>3</v>
      </c>
      <c r="D18" s="158">
        <v>739.5</v>
      </c>
      <c r="E18" s="168">
        <v>670.08</v>
      </c>
      <c r="F18" s="164">
        <v>670.08</v>
      </c>
      <c r="G18" s="181">
        <f t="shared" si="0"/>
        <v>670.08</v>
      </c>
      <c r="H18" s="180">
        <f>(F18+E18)/2</f>
        <v>670.08</v>
      </c>
      <c r="K18" s="162"/>
      <c r="L18" s="162"/>
    </row>
    <row r="19" spans="1:12" ht="15.75">
      <c r="A19" s="117" t="s">
        <v>58</v>
      </c>
      <c r="B19" s="154" t="s">
        <v>435</v>
      </c>
      <c r="C19" s="152">
        <v>3</v>
      </c>
      <c r="D19" s="159">
        <v>2216.55</v>
      </c>
      <c r="E19" s="168">
        <v>3734.58</v>
      </c>
      <c r="F19" s="164">
        <v>3044.12</v>
      </c>
      <c r="G19" s="181">
        <f t="shared" si="0"/>
        <v>3389.35</v>
      </c>
      <c r="H19" s="180">
        <v>2878.13</v>
      </c>
      <c r="K19" s="162"/>
      <c r="L19" s="162"/>
    </row>
    <row r="20" spans="1:12" ht="15.75">
      <c r="A20" s="117" t="s">
        <v>59</v>
      </c>
      <c r="B20" s="155" t="s">
        <v>442</v>
      </c>
      <c r="C20" s="153">
        <v>60</v>
      </c>
      <c r="D20" s="159">
        <v>1616.3</v>
      </c>
      <c r="E20" s="168">
        <v>2230.25</v>
      </c>
      <c r="F20" s="164">
        <v>2141.2</v>
      </c>
      <c r="G20" s="181">
        <f t="shared" si="0"/>
        <v>2185.725</v>
      </c>
      <c r="H20" s="180">
        <v>1923.28</v>
      </c>
      <c r="K20" s="162"/>
      <c r="L20" s="162"/>
    </row>
    <row r="21" spans="1:12" ht="15.75">
      <c r="A21" s="117" t="s">
        <v>61</v>
      </c>
      <c r="B21" s="155" t="s">
        <v>436</v>
      </c>
      <c r="C21" s="153">
        <v>6</v>
      </c>
      <c r="D21" s="159">
        <v>1287.18</v>
      </c>
      <c r="E21" s="168">
        <v>1110.94</v>
      </c>
      <c r="F21" s="164">
        <v>1176.97</v>
      </c>
      <c r="G21" s="181">
        <f t="shared" si="0"/>
        <v>1143.955</v>
      </c>
      <c r="H21" s="180">
        <v>932.08</v>
      </c>
      <c r="K21" s="162"/>
      <c r="L21" s="162"/>
    </row>
    <row r="22" spans="1:12" ht="15.75">
      <c r="A22" s="117" t="s">
        <v>62</v>
      </c>
      <c r="B22" s="155" t="s">
        <v>438</v>
      </c>
      <c r="C22" s="153">
        <v>3</v>
      </c>
      <c r="D22" s="159">
        <v>1638.16</v>
      </c>
      <c r="E22" s="168">
        <v>1433.73</v>
      </c>
      <c r="F22" s="164">
        <v>1736.09</v>
      </c>
      <c r="G22" s="181">
        <f t="shared" si="0"/>
        <v>1584.9099999999999</v>
      </c>
      <c r="H22" s="180">
        <f>(F22+E22)/2</f>
        <v>1584.9099999999999</v>
      </c>
      <c r="K22" s="162"/>
      <c r="L22" s="162"/>
    </row>
    <row r="23" spans="1:12" ht="15.75">
      <c r="A23" s="117" t="s">
        <v>63</v>
      </c>
      <c r="B23" s="155" t="s">
        <v>437</v>
      </c>
      <c r="C23" s="153">
        <v>3</v>
      </c>
      <c r="D23" s="159">
        <v>1300.98</v>
      </c>
      <c r="E23" s="168">
        <v>1162.66</v>
      </c>
      <c r="F23" s="164">
        <v>1524.73</v>
      </c>
      <c r="G23" s="181">
        <f t="shared" si="0"/>
        <v>1343.6950000000002</v>
      </c>
      <c r="H23" s="180">
        <v>1162.66</v>
      </c>
      <c r="K23" s="162"/>
      <c r="L23" s="162"/>
    </row>
    <row r="24" spans="1:12" ht="15.75">
      <c r="A24" s="117" t="s">
        <v>64</v>
      </c>
      <c r="B24" s="155" t="s">
        <v>444</v>
      </c>
      <c r="C24" s="153">
        <v>3</v>
      </c>
      <c r="D24" s="159">
        <v>975.35</v>
      </c>
      <c r="E24" s="168">
        <v>932.08</v>
      </c>
      <c r="F24" s="164">
        <v>932.08</v>
      </c>
      <c r="G24" s="181">
        <f t="shared" si="0"/>
        <v>932.08</v>
      </c>
      <c r="H24" s="180">
        <f>(F24+E24)/2</f>
        <v>932.08</v>
      </c>
      <c r="K24" s="162"/>
      <c r="L24" s="162"/>
    </row>
    <row r="25" spans="1:8" ht="18">
      <c r="A25" s="456" t="s">
        <v>65</v>
      </c>
      <c r="B25" s="456"/>
      <c r="C25" s="116"/>
      <c r="D25" s="169">
        <f>SUM(D11:D24)</f>
        <v>32383.590909090904</v>
      </c>
      <c r="E25" s="170">
        <f>SUM(E11:E24)</f>
        <v>37217.45181818183</v>
      </c>
      <c r="F25" s="166">
        <f>SUM(F11:F24)</f>
        <v>37866.056363636366</v>
      </c>
      <c r="G25" s="175">
        <f>SUM(G11:G24)</f>
        <v>37541.7540909091</v>
      </c>
      <c r="H25" s="179">
        <f>SUM(H11:H24)</f>
        <v>33375.73136363637</v>
      </c>
    </row>
    <row r="27" spans="1:10" ht="15">
      <c r="A27" s="130"/>
      <c r="B27" s="460" t="s">
        <v>440</v>
      </c>
      <c r="C27" s="461"/>
      <c r="D27" s="461"/>
      <c r="E27" s="461"/>
      <c r="F27" s="461"/>
      <c r="G27" s="461"/>
      <c r="H27" s="129"/>
      <c r="I27" s="129"/>
      <c r="J27" s="129"/>
    </row>
    <row r="28" spans="1:9" ht="15">
      <c r="A28" s="131"/>
      <c r="B28" s="129" t="s">
        <v>453</v>
      </c>
      <c r="H28" s="162"/>
      <c r="I28" s="162"/>
    </row>
    <row r="31" ht="15">
      <c r="D31" s="182"/>
    </row>
  </sheetData>
  <sheetProtection/>
  <mergeCells count="3">
    <mergeCell ref="A25:B25"/>
    <mergeCell ref="A9:G9"/>
    <mergeCell ref="B27:G27"/>
  </mergeCells>
  <printOptions/>
  <pageMargins left="0.9448818897637796" right="0.7874015748031497" top="1.062992125984252" bottom="1.062992125984252" header="0.7874015748031497" footer="0.7874015748031497"/>
  <pageSetup horizontalDpi="600" verticalDpi="600" orientation="portrait" paperSize="9" scale="81" r:id="rId2"/>
  <headerFooter alignWithMargins="0">
    <oddFooter>&amp;C&amp;"Times New Roman,Normal"&amp;12Página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E31"/>
  <sheetViews>
    <sheetView zoomScale="145" zoomScaleNormal="145" workbookViewId="0" topLeftCell="A10">
      <selection activeCell="H23" sqref="H23"/>
    </sheetView>
  </sheetViews>
  <sheetFormatPr defaultColWidth="9.140625" defaultRowHeight="15"/>
  <cols>
    <col min="1" max="1" width="39.28125" style="0" customWidth="1"/>
    <col min="2" max="2" width="13.57421875" style="0" customWidth="1"/>
    <col min="3" max="3" width="13.8515625" style="0" customWidth="1"/>
    <col min="4" max="4" width="14.8515625" style="0" customWidth="1"/>
    <col min="5" max="5" width="17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9" spans="1:4" ht="15.75">
      <c r="A9" s="463" t="s">
        <v>592</v>
      </c>
      <c r="B9" s="463"/>
      <c r="C9" s="463"/>
      <c r="D9" s="463"/>
    </row>
    <row r="10" spans="1:4" ht="12.75" customHeight="1">
      <c r="A10" s="58"/>
      <c r="B10" s="58"/>
      <c r="C10" s="58"/>
      <c r="D10" s="58"/>
    </row>
    <row r="11" spans="1:4" ht="15">
      <c r="A11" s="462" t="s">
        <v>69</v>
      </c>
      <c r="B11" s="462"/>
      <c r="C11" s="55"/>
      <c r="D11" s="55"/>
    </row>
    <row r="12" spans="1:4" ht="15">
      <c r="A12" s="464" t="s">
        <v>70</v>
      </c>
      <c r="B12" s="59">
        <v>35</v>
      </c>
      <c r="C12" s="55"/>
      <c r="D12" s="55"/>
    </row>
    <row r="13" spans="1:4" ht="15">
      <c r="A13" s="464"/>
      <c r="B13" s="59">
        <v>51.94</v>
      </c>
      <c r="C13" s="55"/>
      <c r="D13" s="55"/>
    </row>
    <row r="14" spans="1:4" ht="15">
      <c r="A14" s="464"/>
      <c r="B14" s="59">
        <v>75.22</v>
      </c>
      <c r="C14" s="55"/>
      <c r="D14" s="55"/>
    </row>
    <row r="15" spans="1:4" ht="15">
      <c r="A15" s="60" t="s">
        <v>71</v>
      </c>
      <c r="B15" s="59">
        <v>33.34</v>
      </c>
      <c r="C15" s="55"/>
      <c r="D15" s="55"/>
    </row>
    <row r="16" spans="1:4" ht="15">
      <c r="A16" s="132" t="s">
        <v>72</v>
      </c>
      <c r="B16" s="133">
        <f>AVERAGE(B12:B15)</f>
        <v>48.875</v>
      </c>
      <c r="C16" s="55"/>
      <c r="D16" s="55"/>
    </row>
    <row r="17" spans="1:4" s="7" customFormat="1" ht="6" customHeight="1">
      <c r="A17" s="61"/>
      <c r="B17" s="62"/>
      <c r="C17" s="57"/>
      <c r="D17" s="57"/>
    </row>
    <row r="18" spans="1:4" ht="7.5" customHeight="1">
      <c r="A18" s="55"/>
      <c r="B18" s="55"/>
      <c r="C18" s="55"/>
      <c r="D18" s="55"/>
    </row>
    <row r="19" spans="1:4" ht="15">
      <c r="A19" s="462" t="s">
        <v>590</v>
      </c>
      <c r="B19" s="462"/>
      <c r="C19" s="462"/>
      <c r="D19" s="462"/>
    </row>
    <row r="20" spans="1:4" ht="32.25" customHeight="1">
      <c r="A20" s="89" t="s">
        <v>73</v>
      </c>
      <c r="B20" s="89" t="s">
        <v>74</v>
      </c>
      <c r="C20" s="89" t="s">
        <v>75</v>
      </c>
      <c r="D20" s="63" t="s">
        <v>76</v>
      </c>
    </row>
    <row r="21" spans="1:4" ht="15">
      <c r="A21" s="465" t="s">
        <v>580</v>
      </c>
      <c r="B21" s="59">
        <v>2300</v>
      </c>
      <c r="C21" s="59">
        <v>352</v>
      </c>
      <c r="D21" s="59" t="s">
        <v>583</v>
      </c>
    </row>
    <row r="22" spans="1:4" ht="15">
      <c r="A22" s="466"/>
      <c r="B22" s="59">
        <v>3000</v>
      </c>
      <c r="C22" s="59">
        <v>475</v>
      </c>
      <c r="D22" s="59" t="s">
        <v>583</v>
      </c>
    </row>
    <row r="23" spans="1:4" ht="15">
      <c r="A23" s="60" t="s">
        <v>581</v>
      </c>
      <c r="B23" s="59">
        <v>1300</v>
      </c>
      <c r="C23" s="59">
        <v>332.6</v>
      </c>
      <c r="D23" s="59" t="s">
        <v>583</v>
      </c>
    </row>
    <row r="24" spans="1:4" ht="15">
      <c r="A24" s="60" t="s">
        <v>582</v>
      </c>
      <c r="B24" s="59">
        <f>2600+2800</f>
        <v>5400</v>
      </c>
      <c r="C24" s="59" t="s">
        <v>583</v>
      </c>
      <c r="D24" s="59" t="s">
        <v>583</v>
      </c>
    </row>
    <row r="25" spans="1:4" ht="15">
      <c r="A25" s="132" t="s">
        <v>77</v>
      </c>
      <c r="B25" s="133">
        <f>AVERAGE(B21:B24)</f>
        <v>3000</v>
      </c>
      <c r="C25" s="133">
        <f>AVERAGE(C21:C23)</f>
        <v>386.5333333333333</v>
      </c>
      <c r="D25" s="185">
        <f>B16</f>
        <v>48.875</v>
      </c>
    </row>
    <row r="26" spans="1:4" ht="6" customHeight="1">
      <c r="A26" s="61"/>
      <c r="B26" s="62"/>
      <c r="C26" s="186"/>
      <c r="D26" s="186"/>
    </row>
    <row r="27" spans="1:5" ht="15">
      <c r="A27" s="230" t="s">
        <v>556</v>
      </c>
      <c r="B27" s="231">
        <v>3000</v>
      </c>
      <c r="C27" s="232">
        <f>C25</f>
        <v>386.5333333333333</v>
      </c>
      <c r="D27" s="232">
        <f>D25</f>
        <v>48.875</v>
      </c>
      <c r="E27" s="9"/>
    </row>
    <row r="28" spans="1:4" ht="15">
      <c r="A28" s="201" t="s">
        <v>552</v>
      </c>
      <c r="B28" s="202">
        <f>B27*3</f>
        <v>9000</v>
      </c>
      <c r="C28" s="202">
        <f>C27*3</f>
        <v>1159.6</v>
      </c>
      <c r="D28" s="202">
        <f>D27*3</f>
        <v>146.625</v>
      </c>
    </row>
    <row r="29" spans="1:4" ht="15">
      <c r="A29" s="203" t="s">
        <v>531</v>
      </c>
      <c r="B29" s="204">
        <f>B28*12</f>
        <v>108000</v>
      </c>
      <c r="C29" s="204">
        <f>C28*12</f>
        <v>13915.199999999999</v>
      </c>
      <c r="D29" s="204">
        <f>D28*12</f>
        <v>1759.5</v>
      </c>
    </row>
    <row r="30" spans="1:4" ht="15">
      <c r="A30" s="183"/>
      <c r="B30" s="184"/>
      <c r="C30" s="184"/>
      <c r="D30" s="184"/>
    </row>
    <row r="31" spans="1:2" ht="15">
      <c r="A31" s="446" t="s">
        <v>591</v>
      </c>
      <c r="B31" s="446"/>
    </row>
  </sheetData>
  <sheetProtection/>
  <mergeCells count="6">
    <mergeCell ref="A19:D19"/>
    <mergeCell ref="A9:D9"/>
    <mergeCell ref="A11:B11"/>
    <mergeCell ref="A12:A14"/>
    <mergeCell ref="A21:A22"/>
    <mergeCell ref="A31:B31"/>
  </mergeCells>
  <printOptions/>
  <pageMargins left="1.14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8:M86"/>
  <sheetViews>
    <sheetView view="pageBreakPreview" zoomScale="130" zoomScaleNormal="75" zoomScaleSheetLayoutView="130" zoomScalePageLayoutView="0" workbookViewId="0" topLeftCell="A40">
      <selection activeCell="G70" sqref="G70"/>
    </sheetView>
  </sheetViews>
  <sheetFormatPr defaultColWidth="9.140625" defaultRowHeight="15"/>
  <cols>
    <col min="1" max="1" width="20.140625" style="10" bestFit="1" customWidth="1"/>
    <col min="2" max="2" width="22.7109375" style="10" customWidth="1"/>
    <col min="3" max="3" width="25.00390625" style="10" customWidth="1"/>
    <col min="4" max="4" width="18.00390625" style="10" bestFit="1" customWidth="1"/>
    <col min="5" max="6" width="9.140625" style="10" customWidth="1"/>
    <col min="7" max="7" width="9.8515625" style="10" customWidth="1"/>
    <col min="8" max="8" width="10.57421875" style="10" customWidth="1"/>
    <col min="9" max="16384" width="9.140625" style="1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pans="1:5" ht="26.25" customHeight="1">
      <c r="A8" s="470" t="s">
        <v>404</v>
      </c>
      <c r="B8" s="470"/>
      <c r="C8" s="470"/>
      <c r="D8" s="470"/>
      <c r="E8" s="470"/>
    </row>
    <row r="10" spans="1:3" ht="16.5">
      <c r="A10" s="469" t="s">
        <v>406</v>
      </c>
      <c r="B10" s="469"/>
      <c r="C10" s="469"/>
    </row>
    <row r="11" spans="1:3" ht="16.5">
      <c r="A11" s="11" t="s">
        <v>78</v>
      </c>
      <c r="B11" s="11" t="s">
        <v>79</v>
      </c>
      <c r="C11" s="11" t="s">
        <v>80</v>
      </c>
    </row>
    <row r="12" spans="1:3" ht="16.5">
      <c r="A12" s="12">
        <v>41579</v>
      </c>
      <c r="B12" s="13">
        <v>446.59</v>
      </c>
      <c r="C12" s="14">
        <v>518.36</v>
      </c>
    </row>
    <row r="13" spans="1:3" ht="16.5">
      <c r="A13" s="12">
        <v>41609</v>
      </c>
      <c r="B13" s="15">
        <v>1901.47</v>
      </c>
      <c r="C13" s="14">
        <v>550.92</v>
      </c>
    </row>
    <row r="14" spans="1:3" ht="16.5">
      <c r="A14" s="12">
        <v>41640</v>
      </c>
      <c r="B14" s="13">
        <v>792.24</v>
      </c>
      <c r="C14" s="14">
        <v>632.84</v>
      </c>
    </row>
    <row r="15" spans="1:3" ht="16.5">
      <c r="A15" s="12">
        <v>41671</v>
      </c>
      <c r="B15" s="15">
        <v>1179.8</v>
      </c>
      <c r="C15" s="14">
        <v>631.52</v>
      </c>
    </row>
    <row r="16" spans="1:3" ht="16.5">
      <c r="A16" s="12">
        <v>41699</v>
      </c>
      <c r="B16" s="13">
        <v>924.73</v>
      </c>
      <c r="C16" s="14">
        <v>703.7</v>
      </c>
    </row>
    <row r="17" spans="1:13" ht="16.5">
      <c r="A17" s="12">
        <v>41730</v>
      </c>
      <c r="B17" s="13">
        <v>961.91</v>
      </c>
      <c r="C17" s="14">
        <v>563.48</v>
      </c>
      <c r="M17" s="43"/>
    </row>
    <row r="18" spans="1:3" ht="16.5">
      <c r="A18" s="12">
        <v>41760</v>
      </c>
      <c r="B18" s="13">
        <v>799.83</v>
      </c>
      <c r="C18" s="14">
        <v>538.46</v>
      </c>
    </row>
    <row r="19" spans="1:3" ht="16.5">
      <c r="A19" s="12">
        <v>41791</v>
      </c>
      <c r="B19" s="15">
        <v>1036.66</v>
      </c>
      <c r="C19" s="14">
        <v>573.86</v>
      </c>
    </row>
    <row r="20" spans="1:3" ht="16.5">
      <c r="A20" s="12">
        <v>41821</v>
      </c>
      <c r="B20" s="15">
        <v>1070.81</v>
      </c>
      <c r="C20" s="14">
        <v>599.52</v>
      </c>
    </row>
    <row r="21" spans="1:3" ht="16.5" customHeight="1">
      <c r="A21" s="12">
        <v>41852</v>
      </c>
      <c r="B21" s="13">
        <v>916.42</v>
      </c>
      <c r="C21" s="14">
        <v>483.24</v>
      </c>
    </row>
    <row r="22" spans="1:3" ht="16.5" customHeight="1">
      <c r="A22" s="12">
        <v>41883</v>
      </c>
      <c r="B22" s="15">
        <v>1040.14</v>
      </c>
      <c r="C22" s="14">
        <v>583.08</v>
      </c>
    </row>
    <row r="23" spans="1:3" ht="16.5">
      <c r="A23" s="16">
        <v>41913</v>
      </c>
      <c r="B23" s="17">
        <v>867.42</v>
      </c>
      <c r="C23" s="18">
        <v>609.5</v>
      </c>
    </row>
    <row r="24" spans="1:4" ht="16.5">
      <c r="A24" s="19" t="s">
        <v>81</v>
      </c>
      <c r="B24" s="44">
        <f>AVERAGE(B12:B23)</f>
        <v>994.8349999999999</v>
      </c>
      <c r="C24" s="20">
        <f>AVERAGE(C12:C23)</f>
        <v>582.3733333333333</v>
      </c>
      <c r="D24" s="305">
        <f>(B24+C24)/2</f>
        <v>788.6041666666666</v>
      </c>
    </row>
    <row r="25" spans="1:4" ht="16.5">
      <c r="A25" s="205"/>
      <c r="B25" s="205"/>
      <c r="C25" s="28" t="s">
        <v>532</v>
      </c>
      <c r="D25" s="306">
        <f>D24*3</f>
        <v>2365.8125</v>
      </c>
    </row>
    <row r="26" spans="3:4" ht="16.5">
      <c r="C26" s="45" t="s">
        <v>531</v>
      </c>
      <c r="D26" s="307">
        <f>D25*12</f>
        <v>28389.75</v>
      </c>
    </row>
    <row r="27" spans="3:4" s="50" customFormat="1" ht="16.5">
      <c r="C27" s="47"/>
      <c r="D27" s="48"/>
    </row>
    <row r="28" spans="1:3" ht="16.5">
      <c r="A28" s="469" t="s">
        <v>405</v>
      </c>
      <c r="B28" s="469"/>
      <c r="C28" s="469"/>
    </row>
    <row r="29" spans="1:3" ht="16.5">
      <c r="A29" s="11" t="s">
        <v>78</v>
      </c>
      <c r="B29" s="11" t="s">
        <v>79</v>
      </c>
      <c r="C29" s="21" t="s">
        <v>80</v>
      </c>
    </row>
    <row r="30" spans="1:3" ht="16.5">
      <c r="A30" s="22">
        <v>41579</v>
      </c>
      <c r="B30" s="23">
        <v>423.46</v>
      </c>
      <c r="C30" s="24">
        <v>549.42</v>
      </c>
    </row>
    <row r="31" spans="1:3" ht="16.5">
      <c r="A31" s="22">
        <v>41609</v>
      </c>
      <c r="B31" s="23">
        <v>414.75</v>
      </c>
      <c r="C31" s="24">
        <v>583.81</v>
      </c>
    </row>
    <row r="32" spans="1:3" ht="16.5">
      <c r="A32" s="22">
        <v>41640</v>
      </c>
      <c r="B32" s="23">
        <v>385.57</v>
      </c>
      <c r="C32" s="24">
        <v>611.92</v>
      </c>
    </row>
    <row r="33" spans="1:3" ht="16.5">
      <c r="A33" s="22">
        <v>41671</v>
      </c>
      <c r="B33" s="23">
        <v>498.89</v>
      </c>
      <c r="C33" s="24">
        <v>714.3</v>
      </c>
    </row>
    <row r="34" spans="1:3" ht="16.5">
      <c r="A34" s="22">
        <v>41699</v>
      </c>
      <c r="B34" s="25">
        <v>0</v>
      </c>
      <c r="C34" s="24">
        <v>663.78</v>
      </c>
    </row>
    <row r="35" spans="1:3" ht="16.5">
      <c r="A35" s="22">
        <v>41730</v>
      </c>
      <c r="B35" s="23">
        <v>753.04</v>
      </c>
      <c r="C35" s="24">
        <v>610.17</v>
      </c>
    </row>
    <row r="36" spans="1:3" ht="16.5">
      <c r="A36" s="22">
        <v>41760</v>
      </c>
      <c r="B36" s="23">
        <v>747.81</v>
      </c>
      <c r="C36" s="24">
        <v>554.71</v>
      </c>
    </row>
    <row r="37" spans="1:3" ht="16.5">
      <c r="A37" s="22">
        <v>41791</v>
      </c>
      <c r="B37" s="23">
        <v>765.22</v>
      </c>
      <c r="C37" s="24">
        <v>529.03</v>
      </c>
    </row>
    <row r="38" spans="1:3" ht="16.5">
      <c r="A38" s="22">
        <v>41821</v>
      </c>
      <c r="B38" s="23">
        <v>650.69</v>
      </c>
      <c r="C38" s="24">
        <v>541.55</v>
      </c>
    </row>
    <row r="39" spans="1:3" ht="16.5" customHeight="1">
      <c r="A39" s="22">
        <v>41852</v>
      </c>
      <c r="B39" s="23">
        <v>665.66</v>
      </c>
      <c r="C39" s="24">
        <v>435.93</v>
      </c>
    </row>
    <row r="40" spans="1:3" ht="16.5">
      <c r="A40" s="22">
        <v>41883</v>
      </c>
      <c r="B40" s="23">
        <v>802.7</v>
      </c>
      <c r="C40" s="24">
        <v>666.79</v>
      </c>
    </row>
    <row r="41" spans="1:3" ht="16.5">
      <c r="A41" s="26">
        <v>41913</v>
      </c>
      <c r="B41" s="23">
        <v>964.31</v>
      </c>
      <c r="C41" s="24">
        <v>754.94</v>
      </c>
    </row>
    <row r="42" spans="1:4" ht="16.5">
      <c r="A42" s="19" t="s">
        <v>81</v>
      </c>
      <c r="B42" s="27">
        <f>AVERAGE(B30:B41)</f>
        <v>589.3416666666667</v>
      </c>
      <c r="C42" s="28">
        <f>AVERAGE(C30:C41)</f>
        <v>601.3625000000001</v>
      </c>
      <c r="D42" s="49">
        <f>(B42+C42)/2</f>
        <v>595.3520833333334</v>
      </c>
    </row>
    <row r="43" spans="1:4" ht="16.5">
      <c r="A43" s="205"/>
      <c r="B43" s="29"/>
      <c r="C43" s="28" t="s">
        <v>532</v>
      </c>
      <c r="D43" s="206">
        <f>D42*3</f>
        <v>1786.0562500000003</v>
      </c>
    </row>
    <row r="44" spans="3:4" ht="16.5">
      <c r="C44" s="45" t="s">
        <v>401</v>
      </c>
      <c r="D44" s="46">
        <f>D43*12</f>
        <v>21432.675000000003</v>
      </c>
    </row>
    <row r="47" spans="1:3" ht="16.5">
      <c r="A47" s="468" t="s">
        <v>407</v>
      </c>
      <c r="B47" s="468"/>
      <c r="C47" s="468"/>
    </row>
    <row r="48" spans="1:3" ht="16.5">
      <c r="A48" s="135" t="s">
        <v>78</v>
      </c>
      <c r="B48" s="135" t="s">
        <v>79</v>
      </c>
      <c r="C48" s="136" t="s">
        <v>80</v>
      </c>
    </row>
    <row r="49" spans="1:3" ht="16.5">
      <c r="A49" s="138">
        <v>41964</v>
      </c>
      <c r="B49" s="139">
        <v>212.6</v>
      </c>
      <c r="C49" s="139">
        <v>239.7</v>
      </c>
    </row>
    <row r="50" spans="1:3" ht="16.5">
      <c r="A50" s="138">
        <v>41994</v>
      </c>
      <c r="B50" s="30">
        <v>212.6</v>
      </c>
      <c r="C50" s="30">
        <v>239.7</v>
      </c>
    </row>
    <row r="51" spans="1:3" ht="16.5">
      <c r="A51" s="138">
        <v>42025</v>
      </c>
      <c r="B51" s="30">
        <v>212.6</v>
      </c>
      <c r="C51" s="30">
        <v>239.7</v>
      </c>
    </row>
    <row r="52" spans="1:3" ht="16.5">
      <c r="A52" s="138">
        <v>42056</v>
      </c>
      <c r="B52" s="30">
        <v>212.6</v>
      </c>
      <c r="C52" s="30">
        <v>239.7</v>
      </c>
    </row>
    <row r="53" spans="1:3" ht="16.5" customHeight="1">
      <c r="A53" s="138">
        <v>42084</v>
      </c>
      <c r="B53" s="30">
        <v>212.6</v>
      </c>
      <c r="C53" s="30">
        <v>239.7</v>
      </c>
    </row>
    <row r="54" spans="1:3" ht="16.5">
      <c r="A54" s="138">
        <v>42115</v>
      </c>
      <c r="B54" s="30">
        <v>212.6</v>
      </c>
      <c r="C54" s="30">
        <v>239.7</v>
      </c>
    </row>
    <row r="55" spans="1:3" ht="16.5">
      <c r="A55" s="138">
        <v>42145</v>
      </c>
      <c r="B55" s="30">
        <v>212.6</v>
      </c>
      <c r="C55" s="30">
        <v>239.7</v>
      </c>
    </row>
    <row r="56" spans="1:4" ht="16.5">
      <c r="A56" s="19" t="s">
        <v>81</v>
      </c>
      <c r="B56" s="51">
        <f>AVERAGE(B49:B55)</f>
        <v>212.59999999999997</v>
      </c>
      <c r="C56" s="52">
        <f>AVERAGE(C49:C55)</f>
        <v>239.70000000000002</v>
      </c>
      <c r="D56" s="49">
        <f>(B56+C56)/2</f>
        <v>226.14999999999998</v>
      </c>
    </row>
    <row r="57" spans="1:4" ht="16.5">
      <c r="A57" s="205"/>
      <c r="B57" s="207"/>
      <c r="C57" s="28" t="s">
        <v>532</v>
      </c>
      <c r="D57" s="206">
        <f>D56*3</f>
        <v>678.4499999999999</v>
      </c>
    </row>
    <row r="58" spans="3:4" ht="16.5">
      <c r="C58" s="45" t="s">
        <v>401</v>
      </c>
      <c r="D58" s="46">
        <f>D57*12</f>
        <v>8141.4</v>
      </c>
    </row>
    <row r="60" spans="1:3" ht="16.5">
      <c r="A60" s="468" t="s">
        <v>408</v>
      </c>
      <c r="B60" s="468"/>
      <c r="C60" s="468"/>
    </row>
    <row r="61" spans="1:3" ht="16.5">
      <c r="A61" s="135" t="s">
        <v>78</v>
      </c>
      <c r="B61" s="135" t="s">
        <v>83</v>
      </c>
      <c r="C61" s="136" t="s">
        <v>84</v>
      </c>
    </row>
    <row r="62" spans="1:3" ht="16.5">
      <c r="A62" s="138">
        <v>41974</v>
      </c>
      <c r="B62" s="139">
        <f>56.57+47.63</f>
        <v>104.2</v>
      </c>
      <c r="C62" s="139">
        <f>53*4</f>
        <v>212</v>
      </c>
    </row>
    <row r="63" spans="1:3" ht="16.5">
      <c r="A63" s="138">
        <v>42005</v>
      </c>
      <c r="B63" s="30">
        <f aca="true" t="shared" si="0" ref="B63:B70">56.57+47.63</f>
        <v>104.2</v>
      </c>
      <c r="C63" s="30">
        <f aca="true" t="shared" si="1" ref="C63:C70">53*4</f>
        <v>212</v>
      </c>
    </row>
    <row r="64" spans="1:3" ht="16.5">
      <c r="A64" s="138">
        <v>42036</v>
      </c>
      <c r="B64" s="30">
        <f t="shared" si="0"/>
        <v>104.2</v>
      </c>
      <c r="C64" s="30">
        <f t="shared" si="1"/>
        <v>212</v>
      </c>
    </row>
    <row r="65" spans="1:3" ht="16.5">
      <c r="A65" s="138">
        <v>42064</v>
      </c>
      <c r="B65" s="30">
        <f t="shared" si="0"/>
        <v>104.2</v>
      </c>
      <c r="C65" s="30">
        <f t="shared" si="1"/>
        <v>212</v>
      </c>
    </row>
    <row r="66" spans="1:3" ht="16.5">
      <c r="A66" s="138">
        <v>42095</v>
      </c>
      <c r="B66" s="30">
        <f t="shared" si="0"/>
        <v>104.2</v>
      </c>
      <c r="C66" s="30">
        <f t="shared" si="1"/>
        <v>212</v>
      </c>
    </row>
    <row r="67" spans="1:3" ht="16.5">
      <c r="A67" s="138">
        <v>42125</v>
      </c>
      <c r="B67" s="30">
        <f t="shared" si="0"/>
        <v>104.2</v>
      </c>
      <c r="C67" s="30">
        <f t="shared" si="1"/>
        <v>212</v>
      </c>
    </row>
    <row r="68" spans="1:3" ht="16.5" customHeight="1">
      <c r="A68" s="138">
        <v>42156</v>
      </c>
      <c r="B68" s="30">
        <f t="shared" si="0"/>
        <v>104.2</v>
      </c>
      <c r="C68" s="30">
        <f t="shared" si="1"/>
        <v>212</v>
      </c>
    </row>
    <row r="69" spans="1:3" ht="16.5">
      <c r="A69" s="138">
        <v>42186</v>
      </c>
      <c r="B69" s="30">
        <f t="shared" si="0"/>
        <v>104.2</v>
      </c>
      <c r="C69" s="30">
        <f t="shared" si="1"/>
        <v>212</v>
      </c>
    </row>
    <row r="70" spans="1:3" ht="16.5">
      <c r="A70" s="138">
        <v>42217</v>
      </c>
      <c r="B70" s="30">
        <f t="shared" si="0"/>
        <v>104.2</v>
      </c>
      <c r="C70" s="30">
        <f t="shared" si="1"/>
        <v>212</v>
      </c>
    </row>
    <row r="71" spans="1:4" ht="16.5">
      <c r="A71" s="31" t="s">
        <v>81</v>
      </c>
      <c r="B71" s="53">
        <f>AVERAGE(B62:B70)</f>
        <v>104.20000000000002</v>
      </c>
      <c r="C71" s="54">
        <f>AVERAGE(C62:C70)</f>
        <v>212</v>
      </c>
      <c r="D71" s="49">
        <f>(B71+C71)/2</f>
        <v>158.10000000000002</v>
      </c>
    </row>
    <row r="72" spans="1:4" ht="16.5">
      <c r="A72" s="205"/>
      <c r="B72" s="126"/>
      <c r="C72" s="28" t="s">
        <v>532</v>
      </c>
      <c r="D72" s="206">
        <f>D71*3</f>
        <v>474.30000000000007</v>
      </c>
    </row>
    <row r="73" spans="3:4" ht="16.5">
      <c r="C73" s="45" t="s">
        <v>401</v>
      </c>
      <c r="D73" s="46">
        <f>D72*12</f>
        <v>5691.6</v>
      </c>
    </row>
    <row r="74" spans="3:4" ht="16.5">
      <c r="C74" s="47"/>
      <c r="D74" s="48"/>
    </row>
    <row r="75" ht="16.5" hidden="1"/>
    <row r="76" spans="1:4" ht="16.5" hidden="1">
      <c r="A76" s="471" t="s">
        <v>409</v>
      </c>
      <c r="B76" s="472"/>
      <c r="C76" s="473"/>
      <c r="D76" s="188"/>
    </row>
    <row r="77" spans="1:4" ht="16.5" hidden="1">
      <c r="A77" s="187" t="s">
        <v>78</v>
      </c>
      <c r="B77" s="187" t="s">
        <v>402</v>
      </c>
      <c r="C77" s="189" t="s">
        <v>403</v>
      </c>
      <c r="D77" s="188"/>
    </row>
    <row r="78" spans="1:4" ht="16.5" hidden="1">
      <c r="A78" s="190" t="s">
        <v>81</v>
      </c>
      <c r="B78" s="191">
        <v>174.24</v>
      </c>
      <c r="C78" s="192">
        <v>125.76</v>
      </c>
      <c r="D78" s="193">
        <f>(B78+C78)/2</f>
        <v>150</v>
      </c>
    </row>
    <row r="79" spans="1:4" ht="16.5" hidden="1">
      <c r="A79" s="194"/>
      <c r="B79" s="194"/>
      <c r="C79" s="195" t="s">
        <v>401</v>
      </c>
      <c r="D79" s="196">
        <f>D78*12</f>
        <v>1800</v>
      </c>
    </row>
    <row r="80" spans="3:4" s="50" customFormat="1" ht="16.5" hidden="1">
      <c r="C80" s="47"/>
      <c r="D80" s="48"/>
    </row>
    <row r="81" spans="3:4" ht="16.5" customHeight="1">
      <c r="C81" s="47"/>
      <c r="D81" s="48"/>
    </row>
    <row r="82" spans="1:3" ht="16.5">
      <c r="A82" s="468" t="s">
        <v>410</v>
      </c>
      <c r="B82" s="468"/>
      <c r="C82" s="468"/>
    </row>
    <row r="83" spans="1:4" ht="16.5">
      <c r="A83" s="135"/>
      <c r="B83" s="135"/>
      <c r="C83" s="135" t="s">
        <v>82</v>
      </c>
      <c r="D83" s="208" t="s">
        <v>65</v>
      </c>
    </row>
    <row r="84" spans="1:4" ht="16.5">
      <c r="A84" s="31" t="s">
        <v>81</v>
      </c>
      <c r="B84" s="137" t="s">
        <v>534</v>
      </c>
      <c r="C84" s="209">
        <v>159.5</v>
      </c>
      <c r="D84" s="210">
        <f>C84*2</f>
        <v>319</v>
      </c>
    </row>
    <row r="85" spans="3:4" ht="16.5">
      <c r="C85" s="28" t="s">
        <v>532</v>
      </c>
      <c r="D85" s="206">
        <f>D84*3</f>
        <v>957</v>
      </c>
    </row>
    <row r="86" spans="1:6" ht="70.5" customHeight="1">
      <c r="A86" s="467" t="s">
        <v>565</v>
      </c>
      <c r="B86" s="467"/>
      <c r="C86" s="467"/>
      <c r="D86" s="467"/>
      <c r="E86" s="134"/>
      <c r="F86" s="134"/>
    </row>
  </sheetData>
  <sheetProtection/>
  <mergeCells count="8">
    <mergeCell ref="A86:D86"/>
    <mergeCell ref="A82:C82"/>
    <mergeCell ref="A47:C47"/>
    <mergeCell ref="A28:C28"/>
    <mergeCell ref="A10:C10"/>
    <mergeCell ref="A8:E8"/>
    <mergeCell ref="A60:C60"/>
    <mergeCell ref="A76:C76"/>
  </mergeCells>
  <printOptions horizontalCentered="1"/>
  <pageMargins left="1.02" right="0.31496062992125984" top="0.7086614173228347" bottom="0.5905511811023623" header="0.5118110236220472" footer="0.5118110236220472"/>
  <pageSetup horizontalDpi="600" verticalDpi="6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8:F15"/>
  <sheetViews>
    <sheetView zoomScale="160" zoomScaleNormal="160" zoomScalePageLayoutView="0" workbookViewId="0" topLeftCell="A1">
      <selection activeCell="D15" sqref="D15"/>
    </sheetView>
  </sheetViews>
  <sheetFormatPr defaultColWidth="9.140625" defaultRowHeight="15"/>
  <cols>
    <col min="1" max="1" width="45.421875" style="0" customWidth="1"/>
    <col min="3" max="3" width="13.57421875" style="0" customWidth="1"/>
    <col min="4" max="4" width="14.00390625" style="0" customWidth="1"/>
    <col min="5" max="5" width="17.00390625" style="0" customWidth="1"/>
    <col min="6" max="6" width="13.140625" style="0" bestFit="1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pans="1:5" ht="15.75">
      <c r="A8" s="90"/>
      <c r="B8" s="90"/>
      <c r="C8" s="90"/>
      <c r="D8" s="90"/>
      <c r="E8" s="90"/>
    </row>
    <row r="9" spans="1:5" ht="15.75">
      <c r="A9" s="474" t="s">
        <v>411</v>
      </c>
      <c r="B9" s="474"/>
      <c r="C9" s="474"/>
      <c r="D9" s="474"/>
      <c r="E9" s="90"/>
    </row>
    <row r="10" spans="1:5" ht="15.75">
      <c r="A10" s="160"/>
      <c r="B10" s="160" t="s">
        <v>533</v>
      </c>
      <c r="C10" s="160"/>
      <c r="D10" s="160"/>
      <c r="E10" s="90"/>
    </row>
    <row r="11" spans="1:5" ht="15.75">
      <c r="A11" s="95" t="s">
        <v>593</v>
      </c>
      <c r="B11" s="95">
        <f>(45*4)*12</f>
        <v>2160</v>
      </c>
      <c r="C11" s="97"/>
      <c r="D11" s="212"/>
      <c r="E11" s="211"/>
    </row>
    <row r="12" spans="1:5" ht="15.75">
      <c r="A12" s="95" t="s">
        <v>545</v>
      </c>
      <c r="B12" s="95">
        <f>(45*2)*6</f>
        <v>540</v>
      </c>
      <c r="C12" s="97"/>
      <c r="D12" s="212"/>
      <c r="E12" s="211"/>
    </row>
    <row r="13" spans="1:6" ht="15.75">
      <c r="A13" s="100" t="s">
        <v>65</v>
      </c>
      <c r="B13" s="101">
        <f>SUM(B11:B12)</f>
        <v>2700</v>
      </c>
      <c r="C13" s="102"/>
      <c r="D13" s="299"/>
      <c r="E13" s="90"/>
      <c r="F13" s="162"/>
    </row>
    <row r="14" spans="1:5" ht="15.75">
      <c r="A14" s="90"/>
      <c r="B14" s="90"/>
      <c r="C14" s="90"/>
      <c r="D14" s="90"/>
      <c r="E14" s="90"/>
    </row>
    <row r="15" spans="1:5" ht="15.75">
      <c r="A15" s="90"/>
      <c r="B15" s="90"/>
      <c r="C15" s="90"/>
      <c r="D15" s="90"/>
      <c r="E15" s="90"/>
    </row>
  </sheetData>
  <sheetProtection/>
  <mergeCells count="1">
    <mergeCell ref="A9:D9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Bussolotti</dc:creator>
  <cp:keywords/>
  <dc:description/>
  <cp:lastModifiedBy>Beatriz da Silva Borges Coimbra</cp:lastModifiedBy>
  <cp:lastPrinted>2018-01-29T14:03:17Z</cp:lastPrinted>
  <dcterms:created xsi:type="dcterms:W3CDTF">2014-11-24T15:32:39Z</dcterms:created>
  <dcterms:modified xsi:type="dcterms:W3CDTF">2018-03-08T13:45:52Z</dcterms:modified>
  <cp:category/>
  <cp:version/>
  <cp:contentType/>
  <cp:contentStatus/>
</cp:coreProperties>
</file>